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6C58723F-6814-4424-ACD2-35977E40791D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Planas" sheetId="1" r:id="rId1"/>
    <sheet name="Eilute" sheetId="2" state="hidden" r:id="rId2"/>
  </sheets>
  <definedNames>
    <definedName name="_xlnm.Print_Area" localSheetId="0">Planas!$A$1:$O$233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8" i="1" l="1"/>
  <c r="AC28" i="1" s="1"/>
  <c r="AA38" i="1"/>
  <c r="AC38" i="1" s="1"/>
  <c r="Y38" i="1"/>
  <c r="W38" i="1"/>
  <c r="AB28" i="1" l="1"/>
  <c r="Z38" i="1"/>
  <c r="AB38" i="1"/>
  <c r="W28" i="1"/>
  <c r="Y28" i="1"/>
  <c r="W29" i="1"/>
  <c r="Y29" i="1"/>
  <c r="W30" i="1"/>
  <c r="Y30" i="1"/>
  <c r="W31" i="1"/>
  <c r="Y31" i="1"/>
  <c r="W32" i="1"/>
  <c r="Y32" i="1"/>
  <c r="W77" i="1" l="1"/>
  <c r="AA77" i="1"/>
  <c r="AB77" i="1" s="1"/>
  <c r="W78" i="1"/>
  <c r="AA78" i="1"/>
  <c r="Z78" i="1" s="1"/>
  <c r="AA76" i="1"/>
  <c r="AC76" i="1" s="1"/>
  <c r="AA65" i="1"/>
  <c r="AA66" i="1"/>
  <c r="AA67" i="1"/>
  <c r="AA68" i="1"/>
  <c r="AA69" i="1"/>
  <c r="AA70" i="1"/>
  <c r="AA71" i="1"/>
  <c r="AA72" i="1"/>
  <c r="AA73" i="1"/>
  <c r="AA74" i="1"/>
  <c r="AA75" i="1"/>
  <c r="AA57" i="1"/>
  <c r="Z57" i="1" s="1"/>
  <c r="AA58" i="1"/>
  <c r="AA56" i="1"/>
  <c r="AC56" i="1" s="1"/>
  <c r="AA53" i="1"/>
  <c r="AB53" i="1" s="1"/>
  <c r="AA52" i="1"/>
  <c r="Z52" i="1" s="1"/>
  <c r="T41" i="1"/>
  <c r="W41" i="1"/>
  <c r="Y41" i="1"/>
  <c r="Y33" i="1"/>
  <c r="W33" i="1"/>
  <c r="T33" i="1"/>
  <c r="Y36" i="1"/>
  <c r="W36" i="1"/>
  <c r="T36" i="1"/>
  <c r="Y35" i="1"/>
  <c r="W35" i="1"/>
  <c r="T35" i="1"/>
  <c r="AA27" i="1"/>
  <c r="AC27" i="1" s="1"/>
  <c r="AA26" i="1"/>
  <c r="AC26" i="1" s="1"/>
  <c r="AA25" i="1"/>
  <c r="AC25" i="1" s="1"/>
  <c r="AC78" i="1" l="1"/>
  <c r="AB78" i="1"/>
  <c r="Z77" i="1"/>
  <c r="AC77" i="1"/>
  <c r="AB57" i="1"/>
  <c r="AC57" i="1"/>
  <c r="AB56" i="1"/>
  <c r="Z56" i="1"/>
  <c r="AC53" i="1"/>
  <c r="Z53" i="1"/>
  <c r="AB52" i="1"/>
  <c r="AC52" i="1"/>
  <c r="L52" i="1" s="1"/>
  <c r="AB27" i="1"/>
  <c r="Z25" i="1"/>
  <c r="Z26" i="1"/>
  <c r="Z27" i="1"/>
  <c r="AB26" i="1"/>
  <c r="AB25" i="1"/>
  <c r="AA64" i="1"/>
  <c r="AB64" i="1" s="1"/>
  <c r="W64" i="1"/>
  <c r="AA24" i="1"/>
  <c r="Z24" i="1" s="1"/>
  <c r="W52" i="1"/>
  <c r="W53" i="1"/>
  <c r="W54" i="1"/>
  <c r="W55" i="1"/>
  <c r="W56" i="1"/>
  <c r="W57" i="1"/>
  <c r="W58" i="1"/>
  <c r="W59" i="1"/>
  <c r="W60" i="1"/>
  <c r="W61" i="1"/>
  <c r="W62" i="1"/>
  <c r="K53" i="1"/>
  <c r="AA54" i="1"/>
  <c r="AB54" i="1" s="1"/>
  <c r="K54" i="1" s="1"/>
  <c r="AA55" i="1"/>
  <c r="Z55" i="1" s="1"/>
  <c r="P53" i="1" l="1"/>
  <c r="X54" i="1"/>
  <c r="X53" i="1"/>
  <c r="Z64" i="1"/>
  <c r="J52" i="1"/>
  <c r="AC64" i="1"/>
  <c r="J53" i="1"/>
  <c r="AB24" i="1"/>
  <c r="AC24" i="1"/>
  <c r="K52" i="1"/>
  <c r="Z54" i="1"/>
  <c r="J54" i="1" s="1"/>
  <c r="AC55" i="1"/>
  <c r="AB55" i="1"/>
  <c r="AC54" i="1"/>
  <c r="L54" i="1" s="1"/>
  <c r="L53" i="1"/>
  <c r="AA19" i="1"/>
  <c r="Z19" i="1" s="1"/>
  <c r="W19" i="1"/>
  <c r="X19" i="1" s="1"/>
  <c r="P19" i="1"/>
  <c r="T19" i="1"/>
  <c r="T63" i="1"/>
  <c r="W63" i="1"/>
  <c r="AA63" i="1"/>
  <c r="Z63" i="1" s="1"/>
  <c r="T54" i="1"/>
  <c r="AB63" i="1" l="1"/>
  <c r="K63" i="1" s="1"/>
  <c r="AZ4" i="2" s="1"/>
  <c r="AC63" i="1"/>
  <c r="L63" i="1" s="1"/>
  <c r="AB19" i="1"/>
  <c r="K19" i="1" s="1"/>
  <c r="E4" i="2" s="1"/>
  <c r="AC19" i="1"/>
  <c r="L19" i="1" s="1"/>
  <c r="J19" i="1"/>
  <c r="J63" i="1"/>
  <c r="D91" i="1"/>
  <c r="W44" i="1"/>
  <c r="W46" i="1"/>
  <c r="X21" i="1"/>
  <c r="AA21" i="1" s="1"/>
  <c r="X20" i="1"/>
  <c r="AA20" i="1" s="1"/>
  <c r="W24" i="1"/>
  <c r="X24" i="1" s="1"/>
  <c r="Y23" i="1"/>
  <c r="P24" i="1"/>
  <c r="W22" i="1"/>
  <c r="Y22" i="1"/>
  <c r="W20" i="1"/>
  <c r="Y20" i="1"/>
  <c r="AA61" i="1"/>
  <c r="Z61" i="1" s="1"/>
  <c r="AA62" i="1"/>
  <c r="Z62" i="1" s="1"/>
  <c r="T61" i="1"/>
  <c r="T62" i="1"/>
  <c r="B4" i="2"/>
  <c r="Y34" i="1"/>
  <c r="Y37" i="1"/>
  <c r="A4" i="2"/>
  <c r="W73" i="1"/>
  <c r="P73" i="1" s="1"/>
  <c r="W74" i="1"/>
  <c r="T74" i="1"/>
  <c r="T73" i="1"/>
  <c r="W69" i="1"/>
  <c r="T69" i="1"/>
  <c r="W49" i="1"/>
  <c r="W48" i="1"/>
  <c r="W47" i="1"/>
  <c r="T48" i="1"/>
  <c r="T49" i="1"/>
  <c r="W34" i="1"/>
  <c r="W37" i="1"/>
  <c r="W70" i="1"/>
  <c r="T70" i="1"/>
  <c r="J26" i="1"/>
  <c r="T37" i="1"/>
  <c r="T34" i="1"/>
  <c r="AA60" i="1"/>
  <c r="T60" i="1"/>
  <c r="X17" i="1"/>
  <c r="AA17" i="1" s="1"/>
  <c r="X18" i="1"/>
  <c r="W39" i="1"/>
  <c r="W40" i="1"/>
  <c r="Y39" i="1"/>
  <c r="Y40" i="1"/>
  <c r="K55" i="1"/>
  <c r="AR4" i="2" s="1"/>
  <c r="L56" i="1"/>
  <c r="Z58" i="1"/>
  <c r="AA59" i="1"/>
  <c r="W67" i="1"/>
  <c r="W45" i="1"/>
  <c r="W21" i="1"/>
  <c r="W68" i="1"/>
  <c r="W71" i="1"/>
  <c r="W23" i="1"/>
  <c r="W72" i="1"/>
  <c r="P72" i="1" s="1"/>
  <c r="W75" i="1"/>
  <c r="W25" i="1"/>
  <c r="W76" i="1"/>
  <c r="W26" i="1"/>
  <c r="Y77" i="1" s="1"/>
  <c r="W27" i="1"/>
  <c r="Y45" i="1"/>
  <c r="Y46" i="1"/>
  <c r="Y44" i="1"/>
  <c r="T57" i="1"/>
  <c r="Y21" i="1"/>
  <c r="K25" i="1"/>
  <c r="P4" i="2" s="1"/>
  <c r="J27" i="1"/>
  <c r="T56" i="1"/>
  <c r="T58" i="1"/>
  <c r="T59" i="1"/>
  <c r="T55" i="1"/>
  <c r="T75" i="1"/>
  <c r="T76" i="1"/>
  <c r="T45" i="1"/>
  <c r="T46" i="1"/>
  <c r="T47" i="1"/>
  <c r="T44" i="1"/>
  <c r="Y25" i="1"/>
  <c r="Y26" i="1"/>
  <c r="Y27" i="1"/>
  <c r="P17" i="1"/>
  <c r="T78" i="1"/>
  <c r="T77" i="1"/>
  <c r="T72" i="1"/>
  <c r="T71" i="1"/>
  <c r="T68" i="1"/>
  <c r="T67" i="1"/>
  <c r="T53" i="1"/>
  <c r="T52" i="1"/>
  <c r="T31" i="1"/>
  <c r="T30" i="1"/>
  <c r="T28" i="1"/>
  <c r="T32" i="1"/>
  <c r="T21" i="1"/>
  <c r="T23" i="1"/>
  <c r="T24" i="1"/>
  <c r="T25" i="1"/>
  <c r="T26" i="1"/>
  <c r="T27" i="1"/>
  <c r="T29" i="1"/>
  <c r="T38" i="1"/>
  <c r="T39" i="1"/>
  <c r="T40" i="1"/>
  <c r="T17" i="1"/>
  <c r="T18" i="1"/>
  <c r="Y74" i="1"/>
  <c r="P20" i="1" l="1"/>
  <c r="X38" i="1"/>
  <c r="X35" i="1"/>
  <c r="AA35" i="1" s="1"/>
  <c r="X37" i="1"/>
  <c r="AA37" i="1" s="1"/>
  <c r="X34" i="1"/>
  <c r="AA34" i="1" s="1"/>
  <c r="X33" i="1"/>
  <c r="AA33" i="1" s="1"/>
  <c r="AC33" i="1" s="1"/>
  <c r="L33" i="1" s="1"/>
  <c r="X32" i="1"/>
  <c r="AA32" i="1" s="1"/>
  <c r="X36" i="1"/>
  <c r="AA36" i="1" s="1"/>
  <c r="X29" i="1"/>
  <c r="AA29" i="1" s="1"/>
  <c r="X31" i="1"/>
  <c r="AA31" i="1" s="1"/>
  <c r="X30" i="1"/>
  <c r="AA30" i="1" s="1"/>
  <c r="X28" i="1"/>
  <c r="Z28" i="1" s="1"/>
  <c r="Y78" i="1"/>
  <c r="P78" i="1"/>
  <c r="P76" i="1"/>
  <c r="X41" i="1"/>
  <c r="AA41" i="1" s="1"/>
  <c r="P38" i="1"/>
  <c r="P28" i="1"/>
  <c r="Z21" i="1"/>
  <c r="J21" i="1" s="1"/>
  <c r="AC21" i="1"/>
  <c r="L21" i="1" s="1"/>
  <c r="AB21" i="1"/>
  <c r="K21" i="1" s="1"/>
  <c r="H4" i="2" s="1"/>
  <c r="AB59" i="1"/>
  <c r="K59" i="1" s="1"/>
  <c r="AV4" i="2" s="1"/>
  <c r="Z59" i="1"/>
  <c r="AB60" i="1"/>
  <c r="K60" i="1" s="1"/>
  <c r="AW4" i="2" s="1"/>
  <c r="Z60" i="1"/>
  <c r="J60" i="1" s="1"/>
  <c r="K57" i="1"/>
  <c r="AT4" i="2" s="1"/>
  <c r="J57" i="1"/>
  <c r="AC58" i="1"/>
  <c r="L58" i="1" s="1"/>
  <c r="Z20" i="1"/>
  <c r="K24" i="1"/>
  <c r="M4" i="2" s="1"/>
  <c r="P67" i="1"/>
  <c r="O4" i="2"/>
  <c r="X22" i="1"/>
  <c r="AA22" i="1" s="1"/>
  <c r="AC22" i="1" s="1"/>
  <c r="L22" i="1" s="1"/>
  <c r="L27" i="1"/>
  <c r="Y72" i="1"/>
  <c r="Y73" i="1"/>
  <c r="L57" i="1"/>
  <c r="Y75" i="1"/>
  <c r="Z75" i="1" s="1"/>
  <c r="K27" i="1"/>
  <c r="L26" i="1"/>
  <c r="K26" i="1"/>
  <c r="X23" i="1"/>
  <c r="AA23" i="1" s="1"/>
  <c r="Z23" i="1" s="1"/>
  <c r="Y70" i="1"/>
  <c r="L55" i="1"/>
  <c r="AC59" i="1"/>
  <c r="L59" i="1" s="1"/>
  <c r="J25" i="1"/>
  <c r="L24" i="1"/>
  <c r="J24" i="1"/>
  <c r="L25" i="1"/>
  <c r="AC20" i="1"/>
  <c r="L20" i="1" s="1"/>
  <c r="AC60" i="1"/>
  <c r="L60" i="1" s="1"/>
  <c r="W17" i="1"/>
  <c r="Y47" i="1"/>
  <c r="P47" i="1" s="1"/>
  <c r="X40" i="1"/>
  <c r="AA40" i="1" s="1"/>
  <c r="AB40" i="1" s="1"/>
  <c r="K40" i="1" s="1"/>
  <c r="AG4" i="2" s="1"/>
  <c r="Y69" i="1"/>
  <c r="Z69" i="1" s="1"/>
  <c r="K56" i="1"/>
  <c r="AS4" i="2" s="1"/>
  <c r="J56" i="1"/>
  <c r="X26" i="1"/>
  <c r="Y67" i="1"/>
  <c r="Z67" i="1" s="1"/>
  <c r="J59" i="1"/>
  <c r="X44" i="1"/>
  <c r="AA44" i="1" s="1"/>
  <c r="AC17" i="1"/>
  <c r="L17" i="1" s="1"/>
  <c r="Z17" i="1"/>
  <c r="J17" i="1" s="1"/>
  <c r="AB17" i="1"/>
  <c r="K17" i="1" s="1"/>
  <c r="C4" i="2" s="1"/>
  <c r="X27" i="1"/>
  <c r="AB20" i="1"/>
  <c r="K20" i="1" s="1"/>
  <c r="G4" i="2" s="1"/>
  <c r="P22" i="1"/>
  <c r="P70" i="1"/>
  <c r="AC62" i="1"/>
  <c r="L62" i="1" s="1"/>
  <c r="AB62" i="1"/>
  <c r="K62" i="1" s="1"/>
  <c r="AY4" i="2" s="1"/>
  <c r="J62" i="1"/>
  <c r="AA18" i="1"/>
  <c r="W18" i="1"/>
  <c r="X46" i="1"/>
  <c r="AA46" i="1" s="1"/>
  <c r="Z46" i="1" s="1"/>
  <c r="X45" i="1"/>
  <c r="AA45" i="1" s="1"/>
  <c r="Z45" i="1" s="1"/>
  <c r="P44" i="1"/>
  <c r="P77" i="1"/>
  <c r="P68" i="1"/>
  <c r="Y68" i="1"/>
  <c r="Z68" i="1" s="1"/>
  <c r="J58" i="1"/>
  <c r="AB58" i="1"/>
  <c r="K58" i="1" s="1"/>
  <c r="AU4" i="2" s="1"/>
  <c r="P74" i="1"/>
  <c r="P25" i="1"/>
  <c r="Y76" i="1"/>
  <c r="AB61" i="1"/>
  <c r="K61" i="1" s="1"/>
  <c r="AX4" i="2" s="1"/>
  <c r="AC61" i="1"/>
  <c r="L61" i="1" s="1"/>
  <c r="J61" i="1"/>
  <c r="X25" i="1"/>
  <c r="F4" i="2"/>
  <c r="P75" i="1"/>
  <c r="P71" i="1"/>
  <c r="Y71" i="1"/>
  <c r="Z71" i="1" s="1"/>
  <c r="X39" i="1"/>
  <c r="AA39" i="1" s="1"/>
  <c r="X47" i="1"/>
  <c r="AA48" i="1" s="1"/>
  <c r="J55" i="1"/>
  <c r="J20" i="1" l="1"/>
  <c r="AB32" i="1"/>
  <c r="K32" i="1" s="1"/>
  <c r="AB4" i="2" s="1"/>
  <c r="Z32" i="1"/>
  <c r="J32" i="1" s="1"/>
  <c r="AC32" i="1"/>
  <c r="L32" i="1" s="1"/>
  <c r="AB30" i="1"/>
  <c r="K30" i="1" s="1"/>
  <c r="Z30" i="1"/>
  <c r="J30" i="1" s="1"/>
  <c r="AC30" i="1"/>
  <c r="L30" i="1" s="1"/>
  <c r="AB31" i="1"/>
  <c r="K31" i="1" s="1"/>
  <c r="AA4" i="2" s="1"/>
  <c r="Z31" i="1"/>
  <c r="J31" i="1" s="1"/>
  <c r="AC31" i="1"/>
  <c r="L31" i="1" s="1"/>
  <c r="J28" i="1"/>
  <c r="K28" i="1"/>
  <c r="U4" i="2" s="1"/>
  <c r="L28" i="1"/>
  <c r="Z29" i="1"/>
  <c r="J29" i="1" s="1"/>
  <c r="AB29" i="1"/>
  <c r="K29" i="1" s="1"/>
  <c r="W4" i="2" s="1"/>
  <c r="AC29" i="1"/>
  <c r="L29" i="1" s="1"/>
  <c r="K78" i="1"/>
  <c r="BL4" i="2" s="1"/>
  <c r="AB76" i="1"/>
  <c r="K76" i="1" s="1"/>
  <c r="BJ4" i="2" s="1"/>
  <c r="AC48" i="1"/>
  <c r="Z48" i="1"/>
  <c r="AB48" i="1"/>
  <c r="Z41" i="1"/>
  <c r="J41" i="1" s="1"/>
  <c r="AB41" i="1"/>
  <c r="K41" i="1" s="1"/>
  <c r="AH4" i="2" s="1"/>
  <c r="AC41" i="1"/>
  <c r="L41" i="1" s="1"/>
  <c r="AB33" i="1"/>
  <c r="K33" i="1" s="1"/>
  <c r="Z33" i="1"/>
  <c r="J33" i="1" s="1"/>
  <c r="AC35" i="1"/>
  <c r="L35" i="1" s="1"/>
  <c r="Z35" i="1"/>
  <c r="J35" i="1" s="1"/>
  <c r="AB35" i="1"/>
  <c r="K35" i="1" s="1"/>
  <c r="AB36" i="1"/>
  <c r="K36" i="1" s="1"/>
  <c r="AC36" i="1"/>
  <c r="L36" i="1" s="1"/>
  <c r="Z36" i="1"/>
  <c r="J36" i="1" s="1"/>
  <c r="AC23" i="1"/>
  <c r="L23" i="1" s="1"/>
  <c r="AB23" i="1"/>
  <c r="K23" i="1" s="1"/>
  <c r="AB70" i="1"/>
  <c r="K70" i="1" s="1"/>
  <c r="BD4" i="2" s="1"/>
  <c r="Z70" i="1"/>
  <c r="J70" i="1" s="1"/>
  <c r="AB72" i="1"/>
  <c r="K72" i="1" s="1"/>
  <c r="BF4" i="2" s="1"/>
  <c r="Z72" i="1"/>
  <c r="J72" i="1" s="1"/>
  <c r="AB44" i="1"/>
  <c r="K44" i="1" s="1"/>
  <c r="AI4" i="2" s="1"/>
  <c r="Z44" i="1"/>
  <c r="AC73" i="1"/>
  <c r="L73" i="1" s="1"/>
  <c r="Z73" i="1"/>
  <c r="J73" i="1" s="1"/>
  <c r="N4" i="2"/>
  <c r="AB22" i="1"/>
  <c r="K22" i="1" s="1"/>
  <c r="J4" i="2" s="1"/>
  <c r="X4" i="2"/>
  <c r="Z22" i="1"/>
  <c r="J22" i="1" s="1"/>
  <c r="AB73" i="1"/>
  <c r="K73" i="1" s="1"/>
  <c r="BG4" i="2" s="1"/>
  <c r="J23" i="1"/>
  <c r="S4" i="2"/>
  <c r="T4" i="2"/>
  <c r="Q4" i="2"/>
  <c r="R4" i="2"/>
  <c r="L4" i="2"/>
  <c r="K4" i="2"/>
  <c r="AC70" i="1"/>
  <c r="L70" i="1" s="1"/>
  <c r="AC40" i="1"/>
  <c r="L40" i="1" s="1"/>
  <c r="AC44" i="1"/>
  <c r="L44" i="1" s="1"/>
  <c r="Z40" i="1"/>
  <c r="J40" i="1" s="1"/>
  <c r="J69" i="1"/>
  <c r="AB69" i="1"/>
  <c r="K69" i="1" s="1"/>
  <c r="BC4" i="2" s="1"/>
  <c r="AC69" i="1"/>
  <c r="L69" i="1" s="1"/>
  <c r="AC72" i="1"/>
  <c r="L72" i="1" s="1"/>
  <c r="J67" i="1"/>
  <c r="AC67" i="1"/>
  <c r="L67" i="1" s="1"/>
  <c r="AB67" i="1"/>
  <c r="K67" i="1" s="1"/>
  <c r="BA4" i="2" s="1"/>
  <c r="AO4" i="2"/>
  <c r="AQ4" i="2"/>
  <c r="AP4" i="2"/>
  <c r="AC68" i="1"/>
  <c r="L68" i="1" s="1"/>
  <c r="J68" i="1"/>
  <c r="AB68" i="1"/>
  <c r="K68" i="1" s="1"/>
  <c r="BB4" i="2" s="1"/>
  <c r="Z39" i="1"/>
  <c r="J39" i="1" s="1"/>
  <c r="AC39" i="1"/>
  <c r="L39" i="1" s="1"/>
  <c r="AB39" i="1"/>
  <c r="K39" i="1" s="1"/>
  <c r="AF4" i="2" s="1"/>
  <c r="AB74" i="1"/>
  <c r="K74" i="1" s="1"/>
  <c r="BH4" i="2" s="1"/>
  <c r="AC74" i="1"/>
  <c r="L74" i="1" s="1"/>
  <c r="Z74" i="1"/>
  <c r="J74" i="1" s="1"/>
  <c r="J77" i="1"/>
  <c r="L77" i="1"/>
  <c r="K77" i="1"/>
  <c r="BK4" i="2" s="1"/>
  <c r="AC45" i="1"/>
  <c r="L45" i="1" s="1"/>
  <c r="AB45" i="1"/>
  <c r="K45" i="1" s="1"/>
  <c r="AJ4" i="2" s="1"/>
  <c r="J45" i="1"/>
  <c r="AA47" i="1"/>
  <c r="AA49" i="1"/>
  <c r="J75" i="1"/>
  <c r="AC75" i="1"/>
  <c r="L75" i="1" s="1"/>
  <c r="AB75" i="1"/>
  <c r="K75" i="1" s="1"/>
  <c r="BI4" i="2" s="1"/>
  <c r="AC71" i="1"/>
  <c r="L71" i="1" s="1"/>
  <c r="J71" i="1"/>
  <c r="AB71" i="1"/>
  <c r="K71" i="1" s="1"/>
  <c r="BE4" i="2" s="1"/>
  <c r="Z18" i="1"/>
  <c r="AB18" i="1"/>
  <c r="AC18" i="1"/>
  <c r="AB34" i="1"/>
  <c r="K34" i="1" s="1"/>
  <c r="AC4" i="2" s="1"/>
  <c r="Z34" i="1"/>
  <c r="J34" i="1" s="1"/>
  <c r="AC34" i="1"/>
  <c r="L34" i="1" s="1"/>
  <c r="AC37" i="1"/>
  <c r="L37" i="1" s="1"/>
  <c r="AB37" i="1"/>
  <c r="K37" i="1" s="1"/>
  <c r="AD4" i="2" s="1"/>
  <c r="Z37" i="1"/>
  <c r="J37" i="1" s="1"/>
  <c r="J46" i="1"/>
  <c r="AC46" i="1"/>
  <c r="L46" i="1" s="1"/>
  <c r="AB46" i="1"/>
  <c r="K46" i="1" s="1"/>
  <c r="AK4" i="2" s="1"/>
  <c r="U80" i="1" l="1"/>
  <c r="V4" i="2"/>
  <c r="Z4" i="2"/>
  <c r="Y4" i="2"/>
  <c r="L78" i="1"/>
  <c r="L76" i="1"/>
  <c r="J78" i="1"/>
  <c r="Z76" i="1"/>
  <c r="J76" i="1" s="1"/>
  <c r="J38" i="1"/>
  <c r="K38" i="1"/>
  <c r="AE4" i="2" s="1"/>
  <c r="L38" i="1"/>
  <c r="I4" i="2"/>
  <c r="J44" i="1"/>
  <c r="L18" i="1"/>
  <c r="Z49" i="1"/>
  <c r="J49" i="1" s="1"/>
  <c r="AC49" i="1"/>
  <c r="L49" i="1" s="1"/>
  <c r="AB49" i="1"/>
  <c r="K49" i="1" s="1"/>
  <c r="AN4" i="2" s="1"/>
  <c r="J18" i="1"/>
  <c r="J48" i="1"/>
  <c r="L48" i="1"/>
  <c r="K48" i="1"/>
  <c r="AM4" i="2" s="1"/>
  <c r="K18" i="1"/>
  <c r="D4" i="2" s="1"/>
  <c r="AC47" i="1"/>
  <c r="L47" i="1" s="1"/>
  <c r="Z47" i="1"/>
  <c r="J47" i="1" s="1"/>
  <c r="AB47" i="1"/>
  <c r="K47" i="1" s="1"/>
  <c r="AL4" i="2" s="1"/>
  <c r="E86" i="1" l="1"/>
  <c r="E88" i="1"/>
  <c r="U82" i="1"/>
  <c r="U84" i="1"/>
  <c r="BN4" i="2"/>
  <c r="BM4" i="2"/>
  <c r="E84" i="1" l="1"/>
  <c r="F84" i="1" s="1"/>
  <c r="Q11" i="1"/>
  <c r="R11" i="1" s="1"/>
  <c r="E82" i="1"/>
  <c r="F82" i="1" s="1"/>
  <c r="Q9" i="1"/>
  <c r="R9" i="1" s="1"/>
  <c r="E80" i="1"/>
  <c r="F80" i="1" s="1"/>
  <c r="Q7" i="1"/>
  <c r="R7" i="1" s="1"/>
</calcChain>
</file>

<file path=xl/sharedStrings.xml><?xml version="1.0" encoding="utf-8"?>
<sst xmlns="http://schemas.openxmlformats.org/spreadsheetml/2006/main" count="237" uniqueCount="166">
  <si>
    <t>Iš viso dalykų:</t>
  </si>
  <si>
    <t>Pamokų skaičius III klasėje:</t>
  </si>
  <si>
    <t>Klasė</t>
  </si>
  <si>
    <t>Pamokų skaičius IV klasėje:</t>
  </si>
  <si>
    <t>Eil. Nr.</t>
  </si>
  <si>
    <t>Dalykų grupė</t>
  </si>
  <si>
    <t>Dalykas</t>
  </si>
  <si>
    <t>Kursas</t>
  </si>
  <si>
    <t>Pamokų skaičius</t>
  </si>
  <si>
    <t>B</t>
  </si>
  <si>
    <t>A</t>
  </si>
  <si>
    <t>Ar teisingai pasirinktas dalykas</t>
  </si>
  <si>
    <t>Ar teisingai pasirinkta grupėje</t>
  </si>
  <si>
    <t>Papildomas patikrinimas</t>
  </si>
  <si>
    <t>Valandos per 2 metus</t>
  </si>
  <si>
    <t>Valandos 3 kl</t>
  </si>
  <si>
    <t>Valandos 4 kl</t>
  </si>
  <si>
    <t>III kl.</t>
  </si>
  <si>
    <t>IV kl.</t>
  </si>
  <si>
    <t>Dorinis ugdymas</t>
  </si>
  <si>
    <t>Tikyba</t>
  </si>
  <si>
    <t>–</t>
  </si>
  <si>
    <t>Etika</t>
  </si>
  <si>
    <t>Anglų kalba</t>
  </si>
  <si>
    <t>Vokiečių kalba</t>
  </si>
  <si>
    <t>Istorija</t>
  </si>
  <si>
    <t>Geografija</t>
  </si>
  <si>
    <t>Matematika</t>
  </si>
  <si>
    <t>Biologija</t>
  </si>
  <si>
    <t>Fizika</t>
  </si>
  <si>
    <t>Chemija</t>
  </si>
  <si>
    <t>Dailė</t>
  </si>
  <si>
    <t>Muzika</t>
  </si>
  <si>
    <t>Teatras</t>
  </si>
  <si>
    <t>Fotografija</t>
  </si>
  <si>
    <t>Kūno kultūra</t>
  </si>
  <si>
    <t>Krepšinis</t>
  </si>
  <si>
    <t>Tinklinis</t>
  </si>
  <si>
    <t>Rusų kalba</t>
  </si>
  <si>
    <t>Informacinės technologijos</t>
  </si>
  <si>
    <t>`</t>
  </si>
  <si>
    <t>Prancūzų kalba</t>
  </si>
  <si>
    <t>Filosofija</t>
  </si>
  <si>
    <t>Teisė</t>
  </si>
  <si>
    <t>Psichologija</t>
  </si>
  <si>
    <t>Braižyba</t>
  </si>
  <si>
    <t>Istorinių šaltinių analizė</t>
  </si>
  <si>
    <t>Fizikos eksperimentiniai uždaviniai</t>
  </si>
  <si>
    <t>Eksperimentinė chemija</t>
  </si>
  <si>
    <t>A kursu (išplėstiniu):</t>
  </si>
  <si>
    <t>B kursu (bendruoju):</t>
  </si>
  <si>
    <t>Data</t>
  </si>
  <si>
    <r>
      <t>Bendra-sis kursas</t>
    </r>
    <r>
      <rPr>
        <b/>
        <sz val="10"/>
        <rFont val="Times New Roman"/>
        <family val="1"/>
        <charset val="186"/>
      </rPr>
      <t xml:space="preserve"> (B)</t>
    </r>
  </si>
  <si>
    <r>
      <t>Išplės-tinis kursas</t>
    </r>
    <r>
      <rPr>
        <b/>
        <sz val="10"/>
        <rFont val="Times New Roman"/>
        <family val="1"/>
        <charset val="186"/>
      </rPr>
      <t xml:space="preserve"> (A)</t>
    </r>
  </si>
  <si>
    <r>
      <t>Gimtoji k.</t>
    </r>
    <r>
      <rPr>
        <sz val="10"/>
        <rFont val="Times New Roman"/>
        <family val="1"/>
        <charset val="186"/>
      </rPr>
      <t xml:space="preserve"> </t>
    </r>
  </si>
  <si>
    <r>
      <t>MODULIAI</t>
    </r>
    <r>
      <rPr>
        <sz val="11"/>
        <rFont val="Times New Roman"/>
        <family val="1"/>
        <charset val="186"/>
      </rPr>
      <t>, įskaičiuojami į pamokų skaičių, bet neįskaičiuojami į dalykų skaičių</t>
    </r>
  </si>
  <si>
    <t>Pavardė, vardas</t>
  </si>
  <si>
    <t>Iš viso val.</t>
  </si>
  <si>
    <t>Lietuvių kalba B</t>
  </si>
  <si>
    <t>Socialinis ugdymas</t>
  </si>
  <si>
    <t>Matematika B</t>
  </si>
  <si>
    <t>Gamtamokslinis ugdymas</t>
  </si>
  <si>
    <t>Menai</t>
  </si>
  <si>
    <t>Informacinės technologijos B</t>
  </si>
  <si>
    <t>Anglų k.</t>
  </si>
  <si>
    <t>Rusų k.</t>
  </si>
  <si>
    <t>Vokiečių k.</t>
  </si>
  <si>
    <t>IT</t>
  </si>
  <si>
    <t>Istorija B</t>
  </si>
  <si>
    <t>Gegorafija B</t>
  </si>
  <si>
    <t>Gegografija A</t>
  </si>
  <si>
    <t>Biologija B</t>
  </si>
  <si>
    <t>Bilogija A</t>
  </si>
  <si>
    <t>Fizika B</t>
  </si>
  <si>
    <t>Fizika A</t>
  </si>
  <si>
    <t>Chemija B</t>
  </si>
  <si>
    <t>Chemija A</t>
  </si>
  <si>
    <t>Dailė B</t>
  </si>
  <si>
    <t>Muzika B</t>
  </si>
  <si>
    <t>Teatras B</t>
  </si>
  <si>
    <t>Kompiuterinės muzikinės technologijos B</t>
  </si>
  <si>
    <t>Fotografija B</t>
  </si>
  <si>
    <t>Bendroji kūno kultūra B</t>
  </si>
  <si>
    <t>Sportiniai šokiai B</t>
  </si>
  <si>
    <t>Krepšinis B</t>
  </si>
  <si>
    <t>Tinklinis B</t>
  </si>
  <si>
    <t>Kompiuterinė grafika</t>
  </si>
  <si>
    <t>Turizmo ir mitybos technologijos</t>
  </si>
  <si>
    <t>Tekstilės ir aprangos technologijos</t>
  </si>
  <si>
    <t>Vardas</t>
  </si>
  <si>
    <t>Pavardė</t>
  </si>
  <si>
    <t>Lietuvių A 6 val.</t>
  </si>
  <si>
    <t>Geografijos praktiniai darbai</t>
  </si>
  <si>
    <t>Pogramavimo pagrindai</t>
  </si>
  <si>
    <t>Citologija ir genetika</t>
  </si>
  <si>
    <t>Iš viso dalykų</t>
  </si>
  <si>
    <r>
      <t xml:space="preserve">Pasirinktą dalyką, kursą, modulį pažymėkite: </t>
    </r>
    <r>
      <rPr>
        <b/>
        <sz val="9"/>
        <rFont val="Wingdings 2"/>
        <family val="1"/>
        <charset val="2"/>
      </rPr>
      <t>R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.</t>
    </r>
  </si>
  <si>
    <t>Ekonomika ir verslumas</t>
  </si>
  <si>
    <t>IT (programavimas)</t>
  </si>
  <si>
    <t>IT (elektroninė leidyba)</t>
  </si>
  <si>
    <t>Kalbos vartojimo praktika</t>
  </si>
  <si>
    <t>Viešojo kalbėjimo (debatai)</t>
  </si>
  <si>
    <t>Tel. Nr.</t>
  </si>
  <si>
    <t>Dailė A</t>
  </si>
  <si>
    <t>Muzika A</t>
  </si>
  <si>
    <t>Teatras A</t>
  </si>
  <si>
    <t>IT (programavimas) A</t>
  </si>
  <si>
    <t>IT (elektroninė leidyba) A</t>
  </si>
  <si>
    <t>Tradicinių uždavinių sprendimas</t>
  </si>
  <si>
    <t>Uždavinių sprendimo praktika</t>
  </si>
  <si>
    <t>Olimpiadiniai uždaviniai</t>
  </si>
  <si>
    <t>Dorinis ugdy-mas</t>
  </si>
  <si>
    <t>Keitimai IV kl. I pusm.</t>
  </si>
  <si>
    <t>Keitimai III kl. II pusm.</t>
  </si>
  <si>
    <t>Keitimai III kl. I pusm.</t>
  </si>
  <si>
    <t>Pamokų skaičius
 III klasėje:</t>
  </si>
  <si>
    <t>Pamokų skaičius
IV klasėje:</t>
  </si>
  <si>
    <t>Anglų k. kalbinių kompetencijų ugdymas (B1, B2)</t>
  </si>
  <si>
    <t>Karjeros planavimas</t>
  </si>
  <si>
    <t>Krašto gynyba</t>
  </si>
  <si>
    <t>Mokinio parašas</t>
  </si>
  <si>
    <t>Tėvų vardas, pavardė, parašas</t>
  </si>
  <si>
    <t>Anglų kalbos kalbinių kompetencijų ugdymas</t>
  </si>
  <si>
    <t xml:space="preserve">Pogramavimo praktikumas </t>
  </si>
  <si>
    <t>Matematika A</t>
  </si>
  <si>
    <t>Keitimų stulpeliai pildomi, jei mokinys, pasibaigus pusmečiui, keičia individualų ugdymo planą.</t>
  </si>
  <si>
    <t>Lotynų kalba</t>
  </si>
  <si>
    <t>2018-2020 m. m.</t>
  </si>
  <si>
    <t>PRIVALOMI IR PRIVALOMAI  PASIRENKAMIDALYKAI</t>
  </si>
  <si>
    <r>
      <t>LAISVAI PASIRENKAMI DALYKAI</t>
    </r>
    <r>
      <rPr>
        <sz val="11"/>
        <rFont val="Times New Roman"/>
        <family val="1"/>
        <charset val="186"/>
      </rPr>
      <t>, įskaičiuojami į dalykų ir pamokų skaičių</t>
    </r>
  </si>
  <si>
    <t>Kūrybinis / tiriamasis darbas</t>
  </si>
  <si>
    <t>Retorikos pagrindai</t>
  </si>
  <si>
    <t xml:space="preserve">Anglųk. </t>
  </si>
  <si>
    <t>Istorija A</t>
  </si>
  <si>
    <t>Užsienio kalba I</t>
  </si>
  <si>
    <t>Užsienio kalba II</t>
  </si>
  <si>
    <t>LAISVAI PASIRENKAMI DALYKAI</t>
  </si>
  <si>
    <t>MODULIAI</t>
  </si>
  <si>
    <t>Brandos darbas</t>
  </si>
  <si>
    <t>PRIVALOMI IR  PASIRENKAMI DALYKAI</t>
  </si>
  <si>
    <t>Užsienio kalbos (I)</t>
  </si>
  <si>
    <t>Meninis ugdymas ir technologijos</t>
  </si>
  <si>
    <t>Fizinis ugdymas</t>
  </si>
  <si>
    <t>Užsienio kalbos (II)</t>
  </si>
  <si>
    <t>Vilkaviškio „Aušros“ gimnazija</t>
  </si>
  <si>
    <t>Anglų kalba B1</t>
  </si>
  <si>
    <t>Anglų kalba B2</t>
  </si>
  <si>
    <t>Statyba ir medžio apdirbimas</t>
  </si>
  <si>
    <t>Verslas, vadyba ir mažmeninė prekyba</t>
  </si>
  <si>
    <t>Šokis</t>
  </si>
  <si>
    <t>Rusų kalba (B1) (2-oji kalba)</t>
  </si>
  <si>
    <t>Vokiečių kalba (B1) (2-oji kalba)</t>
  </si>
  <si>
    <t>Vokiečių kalba (pradžiamokslis)</t>
  </si>
  <si>
    <t>Sveikatos ir lytiškumo ugdymo, rengimo šeimai programa</t>
  </si>
  <si>
    <t>Brandos darbas (.......................)</t>
  </si>
  <si>
    <t>Socialinė-pilietinė veikla, savanorystė</t>
  </si>
  <si>
    <t>Biologija kitaip</t>
  </si>
  <si>
    <t>Praktinė chemija</t>
  </si>
  <si>
    <r>
      <t xml:space="preserve">Užpildytą anketą siųskite adresu: </t>
    </r>
    <r>
      <rPr>
        <b/>
        <sz val="9"/>
        <color rgb="FFFF0000"/>
        <rFont val="Times New Roman"/>
        <family val="1"/>
        <charset val="186"/>
      </rPr>
      <t>danute.voitiuk@gmail.com</t>
    </r>
  </si>
  <si>
    <t>Lietuvių kalba ir literatūra</t>
  </si>
  <si>
    <t>+</t>
  </si>
  <si>
    <t>PATVIRTINTA</t>
  </si>
  <si>
    <t>Vilkaviškio „Aušros“ gimnazijos</t>
  </si>
  <si>
    <t>direktoriaus 2021 m. balandžio 1 d.</t>
  </si>
  <si>
    <t>Įsakymu Nr. V-57</t>
  </si>
  <si>
    <t>2022–2024 m. m. individualus ugdymo planas (III–IV kl.)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</si>
</sst>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47" x14ac:knownFonts="1">
    <font>
      <sz val="10"/>
      <name val="Arial"/>
      <charset val="186"/>
    </font>
    <font>
      <sz val="8"/>
      <name val="Arial"/>
      <family val="2"/>
      <charset val="186"/>
    </font>
    <font>
      <sz val="14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  <charset val="186"/>
    </font>
    <font>
      <b/>
      <sz val="9"/>
      <name val="Wingdings 2"/>
      <family val="1"/>
      <charset val="2"/>
    </font>
    <font>
      <sz val="10"/>
      <name val="Calibri"/>
      <family val="2"/>
      <charset val="186"/>
    </font>
    <font>
      <b/>
      <sz val="8"/>
      <name val="Calibri"/>
      <family val="2"/>
      <charset val="186"/>
    </font>
    <font>
      <sz val="8"/>
      <name val="Calibri"/>
      <family val="2"/>
      <charset val="186"/>
    </font>
    <font>
      <b/>
      <sz val="10"/>
      <name val="Calibri"/>
      <family val="2"/>
      <charset val="186"/>
    </font>
    <font>
      <sz val="7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8"/>
      <color theme="0"/>
      <name val="Times New Roman"/>
      <family val="1"/>
      <charset val="186"/>
    </font>
    <font>
      <sz val="10"/>
      <color theme="0"/>
      <name val="Times New Roman"/>
      <family val="1"/>
      <charset val="186"/>
    </font>
    <font>
      <sz val="9"/>
      <color theme="0"/>
      <name val="Arial"/>
      <family val="2"/>
      <charset val="186"/>
    </font>
    <font>
      <sz val="9"/>
      <color theme="0"/>
      <name val="Times New Roman"/>
      <family val="1"/>
      <charset val="186"/>
    </font>
    <font>
      <sz val="7"/>
      <color theme="0"/>
      <name val="Times New Roman"/>
      <family val="1"/>
      <charset val="186"/>
    </font>
    <font>
      <b/>
      <sz val="9"/>
      <name val="Arial"/>
      <family val="2"/>
      <charset val="186"/>
    </font>
    <font>
      <sz val="10"/>
      <name val="Arial"/>
      <family val="2"/>
      <charset val="186"/>
    </font>
    <font>
      <b/>
      <sz val="7"/>
      <name val="Times New Roman"/>
      <family val="1"/>
      <charset val="186"/>
    </font>
    <font>
      <b/>
      <sz val="12"/>
      <color theme="0"/>
      <name val="Times New Roman"/>
      <family val="1"/>
      <charset val="186"/>
    </font>
    <font>
      <b/>
      <sz val="9"/>
      <color theme="0"/>
      <name val="Arial"/>
      <family val="2"/>
      <charset val="186"/>
    </font>
    <font>
      <b/>
      <sz val="7"/>
      <color theme="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i/>
      <sz val="8"/>
      <color theme="0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color theme="1"/>
      <name val="Arial"/>
      <family val="2"/>
      <charset val="186"/>
    </font>
    <font>
      <sz val="7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sz val="10"/>
      <color theme="0"/>
      <name val="Arial"/>
      <family val="2"/>
      <charset val="186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/>
    <xf numFmtId="0" fontId="16" fillId="0" borderId="0" xfId="0" applyFont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20" fillId="0" borderId="18" xfId="0" applyFont="1" applyBorder="1" applyAlignment="1">
      <alignment horizontal="center" vertical="center" textRotation="90" wrapText="1"/>
    </xf>
    <xf numFmtId="0" fontId="21" fillId="0" borderId="18" xfId="0" applyFont="1" applyBorder="1" applyAlignment="1">
      <alignment horizontal="center" textRotation="90" wrapText="1"/>
    </xf>
    <xf numFmtId="0" fontId="21" fillId="0" borderId="18" xfId="0" applyFont="1" applyBorder="1" applyAlignment="1">
      <alignment textRotation="90" wrapText="1"/>
    </xf>
    <xf numFmtId="0" fontId="19" fillId="0" borderId="0" xfId="0" applyFont="1" applyAlignment="1">
      <alignment horizontal="center" vertical="center" wrapText="1"/>
    </xf>
    <xf numFmtId="0" fontId="19" fillId="0" borderId="18" xfId="0" applyFont="1" applyBorder="1" applyAlignment="1">
      <alignment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7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/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15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center" textRotation="90" wrapText="1"/>
    </xf>
    <xf numFmtId="0" fontId="12" fillId="0" borderId="2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19" fillId="0" borderId="0" xfId="0" applyFont="1" applyAlignment="1">
      <alignment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20" fillId="0" borderId="23" xfId="0" applyFont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textRotation="90" wrapText="1"/>
    </xf>
    <xf numFmtId="0" fontId="19" fillId="4" borderId="18" xfId="0" applyFont="1" applyFill="1" applyBorder="1" applyAlignment="1">
      <alignment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9" fillId="5" borderId="0" xfId="0" applyFont="1" applyFill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0" fillId="0" borderId="23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horizontal="center" textRotation="90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textRotation="90"/>
    </xf>
    <xf numFmtId="0" fontId="7" fillId="0" borderId="5" xfId="0" applyFont="1" applyFill="1" applyBorder="1" applyAlignment="1">
      <alignment vertical="center"/>
    </xf>
    <xf numFmtId="0" fontId="5" fillId="0" borderId="0" xfId="0" applyFont="1" applyAlignment="1"/>
    <xf numFmtId="0" fontId="2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46" fillId="0" borderId="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7" fillId="6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12" fillId="4" borderId="13" xfId="0" applyFont="1" applyFill="1" applyBorder="1" applyAlignment="1">
      <alignment horizontal="left" vertical="center" wrapText="1"/>
    </xf>
    <xf numFmtId="0" fontId="12" fillId="0" borderId="32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3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 textRotation="90"/>
    </xf>
    <xf numFmtId="0" fontId="31" fillId="0" borderId="1" xfId="0" applyFont="1" applyBorder="1"/>
    <xf numFmtId="0" fontId="9" fillId="7" borderId="1" xfId="0" applyFont="1" applyFill="1" applyBorder="1" applyAlignment="1">
      <alignment horizontal="left" vertical="center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36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20" fillId="0" borderId="1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textRotation="90"/>
    </xf>
    <xf numFmtId="0" fontId="21" fillId="0" borderId="41" xfId="0" applyFont="1" applyBorder="1" applyAlignment="1">
      <alignment horizontal="center" textRotation="90" wrapText="1"/>
    </xf>
    <xf numFmtId="0" fontId="21" fillId="0" borderId="42" xfId="0" applyFont="1" applyBorder="1" applyAlignment="1">
      <alignment horizontal="center" textRotation="90" wrapText="1"/>
    </xf>
    <xf numFmtId="0" fontId="20" fillId="0" borderId="19" xfId="0" applyFont="1" applyFill="1" applyBorder="1" applyAlignment="1">
      <alignment horizontal="center" vertical="center" textRotation="90" wrapText="1"/>
    </xf>
    <xf numFmtId="0" fontId="20" fillId="0" borderId="36" xfId="0" applyFont="1" applyFill="1" applyBorder="1" applyAlignment="1">
      <alignment horizontal="center" vertical="center" textRotation="90" wrapText="1"/>
    </xf>
    <xf numFmtId="0" fontId="20" fillId="0" borderId="37" xfId="0" applyFont="1" applyFill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38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 textRotation="90" wrapText="1"/>
    </xf>
    <xf numFmtId="0" fontId="20" fillId="0" borderId="2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textRotation="90" wrapText="1"/>
    </xf>
    <xf numFmtId="0" fontId="20" fillId="0" borderId="19" xfId="0" applyFont="1" applyBorder="1" applyAlignment="1">
      <alignment horizontal="center" textRotation="90"/>
    </xf>
    <xf numFmtId="0" fontId="20" fillId="0" borderId="37" xfId="0" applyFont="1" applyBorder="1" applyAlignment="1">
      <alignment horizontal="center" textRotation="90"/>
    </xf>
    <xf numFmtId="0" fontId="21" fillId="0" borderId="19" xfId="0" applyFont="1" applyBorder="1" applyAlignment="1">
      <alignment horizontal="center" textRotation="90" wrapText="1"/>
    </xf>
    <xf numFmtId="0" fontId="21" fillId="0" borderId="37" xfId="0" applyFont="1" applyBorder="1" applyAlignment="1">
      <alignment horizontal="center" textRotation="90" wrapText="1"/>
    </xf>
    <xf numFmtId="0" fontId="21" fillId="0" borderId="21" xfId="0" applyFont="1" applyBorder="1" applyAlignment="1">
      <alignment horizontal="center" textRotation="90" wrapText="1"/>
    </xf>
    <xf numFmtId="0" fontId="21" fillId="0" borderId="40" xfId="0" applyFont="1" applyBorder="1" applyAlignment="1">
      <alignment horizontal="center" textRotation="90" wrapText="1"/>
    </xf>
  </cellXfs>
  <cellStyles count="1">
    <cellStyle name="Įprastas" xfId="0" builtinId="0"/>
  </cellStyles>
  <dxfs count="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ont>
        <b/>
        <i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ill>
        <patternFill>
          <bgColor indexed="27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ndense val="0"/>
        <extend val="0"/>
      </font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condense val="0"/>
        <extend val="0"/>
        <color indexed="12"/>
      </font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ill>
        <patternFill>
          <bgColor indexed="29"/>
        </patternFill>
      </fill>
    </dxf>
    <dxf>
      <fill>
        <patternFill>
          <bgColor indexed="29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U$38" lockText="1" noThreeD="1"/>
</file>

<file path=xl/ctrlProps/ctrlProp10.xml><?xml version="1.0" encoding="utf-8"?>
<formControlPr xmlns="http://schemas.microsoft.com/office/spreadsheetml/2009/9/main" objectType="CheckBox" fmlaLink="$U$34" lockText="1" noThreeD="1"/>
</file>

<file path=xl/ctrlProps/ctrlProp11.xml><?xml version="1.0" encoding="utf-8"?>
<formControlPr xmlns="http://schemas.microsoft.com/office/spreadsheetml/2009/9/main" objectType="CheckBox" fmlaLink="$U$37" lockText="1" noThreeD="1"/>
</file>

<file path=xl/ctrlProps/ctrlProp12.xml><?xml version="1.0" encoding="utf-8"?>
<formControlPr xmlns="http://schemas.microsoft.com/office/spreadsheetml/2009/9/main" objectType="CheckBox" fmlaLink="$U$55" lockText="1" noThreeD="1"/>
</file>

<file path=xl/ctrlProps/ctrlProp13.xml><?xml version="1.0" encoding="utf-8"?>
<formControlPr xmlns="http://schemas.microsoft.com/office/spreadsheetml/2009/9/main" objectType="CheckBox" fmlaLink="$U$58" lockText="1" noThreeD="1"/>
</file>

<file path=xl/ctrlProps/ctrlProp14.xml><?xml version="1.0" encoding="utf-8"?>
<formControlPr xmlns="http://schemas.microsoft.com/office/spreadsheetml/2009/9/main" objectType="CheckBox" fmlaLink="$U$59" lockText="1" noThreeD="1"/>
</file>

<file path=xl/ctrlProps/ctrlProp15.xml><?xml version="1.0" encoding="utf-8"?>
<formControlPr xmlns="http://schemas.microsoft.com/office/spreadsheetml/2009/9/main" objectType="CheckBox" fmlaLink="$U$56" lockText="1" noThreeD="1"/>
</file>

<file path=xl/ctrlProps/ctrlProp16.xml><?xml version="1.0" encoding="utf-8"?>
<formControlPr xmlns="http://schemas.microsoft.com/office/spreadsheetml/2009/9/main" objectType="CheckBox" fmlaLink="$U$57" lockText="1" noThreeD="1"/>
</file>

<file path=xl/ctrlProps/ctrlProp17.xml><?xml version="1.0" encoding="utf-8"?>
<formControlPr xmlns="http://schemas.microsoft.com/office/spreadsheetml/2009/9/main" objectType="CheckBox" fmlaLink="$U$60" lockText="1" noThreeD="1"/>
</file>

<file path=xl/ctrlProps/ctrlProp18.xml><?xml version="1.0" encoding="utf-8"?>
<formControlPr xmlns="http://schemas.microsoft.com/office/spreadsheetml/2009/9/main" objectType="CheckBox" fmlaLink="$U$61" lockText="1" noThreeD="1"/>
</file>

<file path=xl/ctrlProps/ctrlProp19.xml><?xml version="1.0" encoding="utf-8"?>
<formControlPr xmlns="http://schemas.microsoft.com/office/spreadsheetml/2009/9/main" objectType="CheckBox" fmlaLink="$U$62" lockText="1" noThreeD="1"/>
</file>

<file path=xl/ctrlProps/ctrlProp2.xml><?xml version="1.0" encoding="utf-8"?>
<formControlPr xmlns="http://schemas.microsoft.com/office/spreadsheetml/2009/9/main" objectType="CheckBox" fmlaLink="$U$39" lockText="1" noThreeD="1"/>
</file>

<file path=xl/ctrlProps/ctrlProp20.xml><?xml version="1.0" encoding="utf-8"?>
<formControlPr xmlns="http://schemas.microsoft.com/office/spreadsheetml/2009/9/main" objectType="CheckBox" fmlaLink="$U$52" lockText="1" noThreeD="1"/>
</file>

<file path=xl/ctrlProps/ctrlProp21.xml><?xml version="1.0" encoding="utf-8"?>
<formControlPr xmlns="http://schemas.microsoft.com/office/spreadsheetml/2009/9/main" objectType="CheckBox" fmlaLink="$U$53" lockText="1" noThreeD="1"/>
</file>

<file path=xl/ctrlProps/ctrlProp22.xml><?xml version="1.0" encoding="utf-8"?>
<formControlPr xmlns="http://schemas.microsoft.com/office/spreadsheetml/2009/9/main" objectType="CheckBox" fmlaLink="$U$67" lockText="1" noThreeD="1"/>
</file>

<file path=xl/ctrlProps/ctrlProp23.xml><?xml version="1.0" encoding="utf-8"?>
<formControlPr xmlns="http://schemas.microsoft.com/office/spreadsheetml/2009/9/main" objectType="CheckBox" fmlaLink="$U$71" lockText="1" noThreeD="1"/>
</file>

<file path=xl/ctrlProps/ctrlProp24.xml><?xml version="1.0" encoding="utf-8"?>
<formControlPr xmlns="http://schemas.microsoft.com/office/spreadsheetml/2009/9/main" objectType="CheckBox" fmlaLink="$U$72" lockText="1" noThreeD="1"/>
</file>

<file path=xl/ctrlProps/ctrlProp25.xml><?xml version="1.0" encoding="utf-8"?>
<formControlPr xmlns="http://schemas.microsoft.com/office/spreadsheetml/2009/9/main" objectType="CheckBox" fmlaLink="$U$77" lockText="1" noThreeD="1"/>
</file>

<file path=xl/ctrlProps/ctrlProp26.xml><?xml version="1.0" encoding="utf-8"?>
<formControlPr xmlns="http://schemas.microsoft.com/office/spreadsheetml/2009/9/main" objectType="CheckBox" fmlaLink="$U$78" lockText="1" noThreeD="1"/>
</file>

<file path=xl/ctrlProps/ctrlProp27.xml><?xml version="1.0" encoding="utf-8"?>
<formControlPr xmlns="http://schemas.microsoft.com/office/spreadsheetml/2009/9/main" objectType="CheckBox" fmlaLink="$U$68" lockText="1" noThreeD="1"/>
</file>

<file path=xl/ctrlProps/ctrlProp28.xml><?xml version="1.0" encoding="utf-8"?>
<formControlPr xmlns="http://schemas.microsoft.com/office/spreadsheetml/2009/9/main" objectType="CheckBox" fmlaLink="$U$70" lockText="1" noThreeD="1"/>
</file>

<file path=xl/ctrlProps/ctrlProp29.xml><?xml version="1.0" encoding="utf-8"?>
<formControlPr xmlns="http://schemas.microsoft.com/office/spreadsheetml/2009/9/main" objectType="CheckBox" fmlaLink="$U$75" lockText="1" noThreeD="1"/>
</file>

<file path=xl/ctrlProps/ctrlProp3.xml><?xml version="1.0" encoding="utf-8"?>
<formControlPr xmlns="http://schemas.microsoft.com/office/spreadsheetml/2009/9/main" objectType="CheckBox" fmlaLink="$U$40" lockText="1" noThreeD="1"/>
</file>

<file path=xl/ctrlProps/ctrlProp30.xml><?xml version="1.0" encoding="utf-8"?>
<formControlPr xmlns="http://schemas.microsoft.com/office/spreadsheetml/2009/9/main" objectType="CheckBox" fmlaLink="$U$76" lockText="1" noThreeD="1"/>
</file>

<file path=xl/ctrlProps/ctrlProp31.xml><?xml version="1.0" encoding="utf-8"?>
<formControlPr xmlns="http://schemas.microsoft.com/office/spreadsheetml/2009/9/main" objectType="CheckBox" fmlaLink="$U$69" lockText="1" noThreeD="1"/>
</file>

<file path=xl/ctrlProps/ctrlProp32.xml><?xml version="1.0" encoding="utf-8"?>
<formControlPr xmlns="http://schemas.microsoft.com/office/spreadsheetml/2009/9/main" objectType="CheckBox" fmlaLink="$U$73" lockText="1" noThreeD="1"/>
</file>

<file path=xl/ctrlProps/ctrlProp33.xml><?xml version="1.0" encoding="utf-8"?>
<formControlPr xmlns="http://schemas.microsoft.com/office/spreadsheetml/2009/9/main" objectType="CheckBox" fmlaLink="$U$74" lockText="1" noThreeD="1"/>
</file>

<file path=xl/ctrlProps/ctrlProp34.xml><?xml version="1.0" encoding="utf-8"?>
<formControlPr xmlns="http://schemas.microsoft.com/office/spreadsheetml/2009/9/main" objectType="CheckBox" fmlaLink="$U$47" lockText="1" noThreeD="1"/>
</file>

<file path=xl/ctrlProps/ctrlProp35.xml><?xml version="1.0" encoding="utf-8"?>
<formControlPr xmlns="http://schemas.microsoft.com/office/spreadsheetml/2009/9/main" objectType="CheckBox" fmlaLink="$V$48" lockText="1" noThreeD="1"/>
</file>

<file path=xl/ctrlProps/ctrlProp36.xml><?xml version="1.0" encoding="utf-8"?>
<formControlPr xmlns="http://schemas.microsoft.com/office/spreadsheetml/2009/9/main" objectType="CheckBox" fmlaLink="$V$49" lockText="1" noThreeD="1"/>
</file>

<file path=xl/ctrlProps/ctrlProp37.xml><?xml version="1.0" encoding="utf-8"?>
<formControlPr xmlns="http://schemas.microsoft.com/office/spreadsheetml/2009/9/main" objectType="CheckBox" fmlaLink="$V$44" lockText="1" noThreeD="1"/>
</file>

<file path=xl/ctrlProps/ctrlProp38.xml><?xml version="1.0" encoding="utf-8"?>
<formControlPr xmlns="http://schemas.microsoft.com/office/spreadsheetml/2009/9/main" objectType="CheckBox" fmlaLink="$V$45" lockText="1" noThreeD="1"/>
</file>

<file path=xl/ctrlProps/ctrlProp39.xml><?xml version="1.0" encoding="utf-8"?>
<formControlPr xmlns="http://schemas.microsoft.com/office/spreadsheetml/2009/9/main" objectType="CheckBox" fmlaLink="$V$46" lockText="1" noThreeD="1"/>
</file>

<file path=xl/ctrlProps/ctrlProp4.xml><?xml version="1.0" encoding="utf-8"?>
<formControlPr xmlns="http://schemas.microsoft.com/office/spreadsheetml/2009/9/main" objectType="CheckBox" fmlaLink="$U$41" lockText="1" noThreeD="1"/>
</file>

<file path=xl/ctrlProps/ctrlProp40.xml><?xml version="1.0" encoding="utf-8"?>
<formControlPr xmlns="http://schemas.microsoft.com/office/spreadsheetml/2009/9/main" objectType="CheckBox" fmlaLink="$U$22" lockText="1" noThreeD="1"/>
</file>

<file path=xl/ctrlProps/ctrlProp41.xml><?xml version="1.0" encoding="utf-8"?>
<formControlPr xmlns="http://schemas.microsoft.com/office/spreadsheetml/2009/9/main" objectType="CheckBox" fmlaLink="$U$23" lockText="1" noThreeD="1"/>
</file>

<file path=xl/ctrlProps/ctrlProp42.xml><?xml version="1.0" encoding="utf-8"?>
<formControlPr xmlns="http://schemas.microsoft.com/office/spreadsheetml/2009/9/main" objectType="CheckBox" fmlaLink="$U$24" lockText="1" noThreeD="1"/>
</file>

<file path=xl/ctrlProps/ctrlProp43.xml><?xml version="1.0" encoding="utf-8"?>
<formControlPr xmlns="http://schemas.microsoft.com/office/spreadsheetml/2009/9/main" objectType="CheckBox" fmlaLink="$V$23" lockText="1" noThreeD="1"/>
</file>

<file path=xl/ctrlProps/ctrlProp44.xml><?xml version="1.0" encoding="utf-8"?>
<formControlPr xmlns="http://schemas.microsoft.com/office/spreadsheetml/2009/9/main" objectType="CheckBox" fmlaLink="$V$24" lockText="1" noThreeD="1"/>
</file>

<file path=xl/ctrlProps/ctrlProp45.xml><?xml version="1.0" encoding="utf-8"?>
<formControlPr xmlns="http://schemas.microsoft.com/office/spreadsheetml/2009/9/main" objectType="CheckBox" fmlaLink="$V$22" lockText="1" noThreeD="1"/>
</file>

<file path=xl/ctrlProps/ctrlProp46.xml><?xml version="1.0" encoding="utf-8"?>
<formControlPr xmlns="http://schemas.microsoft.com/office/spreadsheetml/2009/9/main" objectType="CheckBox" fmlaLink="$U$25" lockText="1" noThreeD="1"/>
</file>

<file path=xl/ctrlProps/ctrlProp47.xml><?xml version="1.0" encoding="utf-8"?>
<formControlPr xmlns="http://schemas.microsoft.com/office/spreadsheetml/2009/9/main" objectType="CheckBox" fmlaLink="$U$26" lockText="1" noThreeD="1"/>
</file>

<file path=xl/ctrlProps/ctrlProp48.xml><?xml version="1.0" encoding="utf-8"?>
<formControlPr xmlns="http://schemas.microsoft.com/office/spreadsheetml/2009/9/main" objectType="CheckBox" fmlaLink="$U$27" lockText="1" noThreeD="1"/>
</file>

<file path=xl/ctrlProps/ctrlProp49.xml><?xml version="1.0" encoding="utf-8"?>
<formControlPr xmlns="http://schemas.microsoft.com/office/spreadsheetml/2009/9/main" objectType="CheckBox" fmlaLink="$V$25" lockText="1" noThreeD="1"/>
</file>

<file path=xl/ctrlProps/ctrlProp5.xml><?xml version="1.0" encoding="utf-8"?>
<formControlPr xmlns="http://schemas.microsoft.com/office/spreadsheetml/2009/9/main" objectType="CheckBox" fmlaLink="$U$28" lockText="1" noThreeD="1"/>
</file>

<file path=xl/ctrlProps/ctrlProp50.xml><?xml version="1.0" encoding="utf-8"?>
<formControlPr xmlns="http://schemas.microsoft.com/office/spreadsheetml/2009/9/main" objectType="CheckBox" fmlaLink="$V$26" lockText="1" noThreeD="1"/>
</file>

<file path=xl/ctrlProps/ctrlProp51.xml><?xml version="1.0" encoding="utf-8"?>
<formControlPr xmlns="http://schemas.microsoft.com/office/spreadsheetml/2009/9/main" objectType="CheckBox" fmlaLink="$V$27" lockText="1" noThreeD="1"/>
</file>

<file path=xl/ctrlProps/ctrlProp52.xml><?xml version="1.0" encoding="utf-8"?>
<formControlPr xmlns="http://schemas.microsoft.com/office/spreadsheetml/2009/9/main" objectType="CheckBox" fmlaLink="$U$17" lockText="1" noThreeD="1"/>
</file>

<file path=xl/ctrlProps/ctrlProp53.xml><?xml version="1.0" encoding="utf-8"?>
<formControlPr xmlns="http://schemas.microsoft.com/office/spreadsheetml/2009/9/main" objectType="CheckBox" fmlaLink="$U$18" lockText="1" noThreeD="1"/>
</file>

<file path=xl/ctrlProps/ctrlProp54.xml><?xml version="1.0" encoding="utf-8"?>
<formControlPr xmlns="http://schemas.microsoft.com/office/spreadsheetml/2009/9/main" objectType="CheckBox" fmlaLink="$V$21" lockText="1" noThreeD="1"/>
</file>

<file path=xl/ctrlProps/ctrlProp55.xml><?xml version="1.0" encoding="utf-8"?>
<formControlPr xmlns="http://schemas.microsoft.com/office/spreadsheetml/2009/9/main" objectType="CheckBox" fmlaLink="$V$19" lockText="1" noThreeD="1"/>
</file>

<file path=xl/ctrlProps/ctrlProp56.xml><?xml version="1.0" encoding="utf-8"?>
<formControlPr xmlns="http://schemas.microsoft.com/office/spreadsheetml/2009/9/main" objectType="CheckBox" fmlaLink="$V$20" lockText="1" noThreeD="1"/>
</file>

<file path=xl/ctrlProps/ctrlProp57.xml><?xml version="1.0" encoding="utf-8"?>
<formControlPr xmlns="http://schemas.microsoft.com/office/spreadsheetml/2009/9/main" objectType="CheckBox" fmlaLink="$U$54" lockText="1" noThreeD="1"/>
</file>

<file path=xl/ctrlProps/ctrlProp58.xml><?xml version="1.0" encoding="utf-8"?>
<formControlPr xmlns="http://schemas.microsoft.com/office/spreadsheetml/2009/9/main" objectType="CheckBox" fmlaLink="$U$63" lockText="1" noThreeD="1"/>
</file>

<file path=xl/ctrlProps/ctrlProp59.xml><?xml version="1.0" encoding="utf-8"?>
<formControlPr xmlns="http://schemas.microsoft.com/office/spreadsheetml/2009/9/main" objectType="CheckBox" fmlaLink="$U$19" lockText="1" noThreeD="1"/>
</file>

<file path=xl/ctrlProps/ctrlProp6.xml><?xml version="1.0" encoding="utf-8"?>
<formControlPr xmlns="http://schemas.microsoft.com/office/spreadsheetml/2009/9/main" objectType="CheckBox" fmlaLink="$U$29" lockText="1" noThreeD="1"/>
</file>

<file path=xl/ctrlProps/ctrlProp60.xml><?xml version="1.0" encoding="utf-8"?>
<formControlPr xmlns="http://schemas.microsoft.com/office/spreadsheetml/2009/9/main" objectType="CheckBox" fmlaLink="$U$34" lockText="1" noThreeD="1"/>
</file>

<file path=xl/ctrlProps/ctrlProp61.xml><?xml version="1.0" encoding="utf-8"?>
<formControlPr xmlns="http://schemas.microsoft.com/office/spreadsheetml/2009/9/main" objectType="CheckBox" fmlaLink="$U$35" lockText="1" noThreeD="1"/>
</file>

<file path=xl/ctrlProps/ctrlProp62.xml><?xml version="1.0" encoding="utf-8"?>
<formControlPr xmlns="http://schemas.microsoft.com/office/spreadsheetml/2009/9/main" objectType="CheckBox" fmlaLink="$U$36" lockText="1" noThreeD="1"/>
</file>

<file path=xl/ctrlProps/ctrlProp63.xml><?xml version="1.0" encoding="utf-8"?>
<formControlPr xmlns="http://schemas.microsoft.com/office/spreadsheetml/2009/9/main" objectType="CheckBox" fmlaLink="$U$33" lockText="1" noThreeD="1"/>
</file>

<file path=xl/ctrlProps/ctrlProp64.xml><?xml version="1.0" encoding="utf-8"?>
<formControlPr xmlns="http://schemas.microsoft.com/office/spreadsheetml/2009/9/main" objectType="CheckBox" fmlaLink="$V$28" lockText="1" noThreeD="1"/>
</file>

<file path=xl/ctrlProps/ctrlProp65.xml><?xml version="1.0" encoding="utf-8"?>
<formControlPr xmlns="http://schemas.microsoft.com/office/spreadsheetml/2009/9/main" objectType="CheckBox" fmlaLink="$V$38" lockText="1" noThreeD="1"/>
</file>

<file path=xl/ctrlProps/ctrlProp7.xml><?xml version="1.0" encoding="utf-8"?>
<formControlPr xmlns="http://schemas.microsoft.com/office/spreadsheetml/2009/9/main" objectType="CheckBox" fmlaLink="$U$32" lockText="1" noThreeD="1"/>
</file>

<file path=xl/ctrlProps/ctrlProp8.xml><?xml version="1.0" encoding="utf-8"?>
<formControlPr xmlns="http://schemas.microsoft.com/office/spreadsheetml/2009/9/main" objectType="CheckBox" fmlaLink="$U$30" lockText="1" noThreeD="1"/>
</file>

<file path=xl/ctrlProps/ctrlProp9.xml><?xml version="1.0" encoding="utf-8"?>
<formControlPr xmlns="http://schemas.microsoft.com/office/spreadsheetml/2009/9/main" objectType="CheckBox" fmlaLink="$U$3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16</xdr:row>
          <xdr:rowOff>22860</xdr:rowOff>
        </xdr:from>
        <xdr:to>
          <xdr:col>12</xdr:col>
          <xdr:colOff>327660</xdr:colOff>
          <xdr:row>16</xdr:row>
          <xdr:rowOff>160020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17</xdr:row>
          <xdr:rowOff>30480</xdr:rowOff>
        </xdr:from>
        <xdr:to>
          <xdr:col>12</xdr:col>
          <xdr:colOff>327660</xdr:colOff>
          <xdr:row>17</xdr:row>
          <xdr:rowOff>175260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373380</xdr:colOff>
          <xdr:row>20</xdr:row>
          <xdr:rowOff>30480</xdr:rowOff>
        </xdr:from>
        <xdr:to>
          <xdr:col>13</xdr:col>
          <xdr:colOff>68580</xdr:colOff>
          <xdr:row>20</xdr:row>
          <xdr:rowOff>175260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144780</xdr:colOff>
          <xdr:row>18</xdr:row>
          <xdr:rowOff>22860</xdr:rowOff>
        </xdr:from>
        <xdr:to>
          <xdr:col>13</xdr:col>
          <xdr:colOff>327660</xdr:colOff>
          <xdr:row>18</xdr:row>
          <xdr:rowOff>160020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373380</xdr:colOff>
          <xdr:row>19</xdr:row>
          <xdr:rowOff>22860</xdr:rowOff>
        </xdr:from>
        <xdr:to>
          <xdr:col>13</xdr:col>
          <xdr:colOff>68580</xdr:colOff>
          <xdr:row>19</xdr:row>
          <xdr:rowOff>175260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37</xdr:row>
          <xdr:rowOff>30480</xdr:rowOff>
        </xdr:from>
        <xdr:to>
          <xdr:col>12</xdr:col>
          <xdr:colOff>327660</xdr:colOff>
          <xdr:row>37</xdr:row>
          <xdr:rowOff>175260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38</xdr:row>
          <xdr:rowOff>22860</xdr:rowOff>
        </xdr:from>
        <xdr:to>
          <xdr:col>12</xdr:col>
          <xdr:colOff>327660</xdr:colOff>
          <xdr:row>38</xdr:row>
          <xdr:rowOff>175260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39</xdr:row>
          <xdr:rowOff>30480</xdr:rowOff>
        </xdr:from>
        <xdr:to>
          <xdr:col>12</xdr:col>
          <xdr:colOff>327660</xdr:colOff>
          <xdr:row>39</xdr:row>
          <xdr:rowOff>175260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40</xdr:row>
          <xdr:rowOff>30480</xdr:rowOff>
        </xdr:from>
        <xdr:to>
          <xdr:col>12</xdr:col>
          <xdr:colOff>327660</xdr:colOff>
          <xdr:row>40</xdr:row>
          <xdr:rowOff>175260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24</xdr:row>
          <xdr:rowOff>28575</xdr:rowOff>
        </xdr:from>
        <xdr:to>
          <xdr:col>13</xdr:col>
          <xdr:colOff>323850</xdr:colOff>
          <xdr:row>26</xdr:row>
          <xdr:rowOff>161925</xdr:rowOff>
        </xdr:to>
        <xdr:grpSp>
          <xdr:nvGrpSpPr>
            <xdr:cNvPr id="1691" name="Grupė 4">
              <a:extLst>
                <a:ext uri="{FF2B5EF4-FFF2-40B4-BE49-F238E27FC236}">
                  <a16:creationId xmlns:a16="http://schemas.microsoft.com/office/drawing/2014/main" id="{00000000-0008-0000-0000-00009B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58075" y="5300512"/>
              <a:ext cx="660333" cy="638476"/>
              <a:chOff x="5377484" y="4387267"/>
              <a:chExt cx="661366" cy="548889"/>
            </a:xfrm>
          </xdr:grpSpPr>
          <xdr:sp macro="" textlink="">
            <xdr:nvSpPr>
              <xdr:cNvPr id="1037" name="Check Box 13" hidden="1">
                <a:extLst>
                  <a:ext uri="{63B3BB69-23CF-44E3-9099-C40C66FF867C}">
                    <a14:compatExt spid="_x0000_s1037"/>
                  </a:ext>
                  <a:ext uri="{FF2B5EF4-FFF2-40B4-BE49-F238E27FC236}">
                    <a16:creationId xmlns:a16="http://schemas.microsoft.com/office/drawing/2014/main" id="{00000000-0008-0000-0000-00000D040000}"/>
                  </a:ext>
                </a:extLst>
              </xdr:cNvPr>
              <xdr:cNvSpPr/>
            </xdr:nvSpPr>
            <xdr:spPr bwMode="auto">
              <a:xfrm>
                <a:off x="5377484" y="4387267"/>
                <a:ext cx="180975" cy="14449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8" name="Check Box 14" hidden="1">
                <a:extLst>
                  <a:ext uri="{63B3BB69-23CF-44E3-9099-C40C66FF867C}">
                    <a14:compatExt spid="_x0000_s1038"/>
                  </a:ext>
                  <a:ext uri="{FF2B5EF4-FFF2-40B4-BE49-F238E27FC236}">
                    <a16:creationId xmlns:a16="http://schemas.microsoft.com/office/drawing/2014/main" id="{00000000-0008-0000-0000-00000E040000}"/>
                  </a:ext>
                </a:extLst>
              </xdr:cNvPr>
              <xdr:cNvSpPr/>
            </xdr:nvSpPr>
            <xdr:spPr bwMode="auto">
              <a:xfrm>
                <a:off x="5377484" y="4592348"/>
                <a:ext cx="180975" cy="144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9" name="Check Box 15" hidden="1">
                <a:extLst>
                  <a:ext uri="{63B3BB69-23CF-44E3-9099-C40C66FF867C}">
                    <a14:compatExt spid="_x0000_s1039"/>
                  </a:ext>
                  <a:ext uri="{FF2B5EF4-FFF2-40B4-BE49-F238E27FC236}">
                    <a16:creationId xmlns:a16="http://schemas.microsoft.com/office/drawing/2014/main" id="{00000000-0008-0000-0000-00000F040000}"/>
                  </a:ext>
                </a:extLst>
              </xdr:cNvPr>
              <xdr:cNvSpPr/>
            </xdr:nvSpPr>
            <xdr:spPr bwMode="auto">
              <a:xfrm>
                <a:off x="5377484" y="4786124"/>
                <a:ext cx="180975" cy="14449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40" name="Check Box 16" hidden="1">
                <a:extLst>
                  <a:ext uri="{63B3BB69-23CF-44E3-9099-C40C66FF867C}">
                    <a14:compatExt spid="_x0000_s1040"/>
                  </a:ext>
                  <a:ext uri="{FF2B5EF4-FFF2-40B4-BE49-F238E27FC236}">
                    <a16:creationId xmlns:a16="http://schemas.microsoft.com/office/drawing/2014/main" id="{00000000-0008-0000-0000-000010040000}"/>
                  </a:ext>
                </a:extLst>
              </xdr:cNvPr>
              <xdr:cNvSpPr/>
            </xdr:nvSpPr>
            <xdr:spPr bwMode="auto">
              <a:xfrm>
                <a:off x="5857875" y="4389254"/>
                <a:ext cx="180975" cy="1418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7" name="Check Box 53" hidden="1">
                <a:extLst>
                  <a:ext uri="{63B3BB69-23CF-44E3-9099-C40C66FF867C}">
                    <a14:compatExt spid="_x0000_s1077"/>
                  </a:ex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/>
            </xdr:nvSpPr>
            <xdr:spPr bwMode="auto">
              <a:xfrm>
                <a:off x="5857875" y="4594716"/>
                <a:ext cx="180975" cy="144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8" name="Check Box 54" hidden="1">
                <a:extLst>
                  <a:ext uri="{63B3BB69-23CF-44E3-9099-C40C66FF867C}">
                    <a14:compatExt spid="_x0000_s1078"/>
                  </a:ext>
                  <a:ext uri="{FF2B5EF4-FFF2-40B4-BE49-F238E27FC236}">
                    <a16:creationId xmlns:a16="http://schemas.microsoft.com/office/drawing/2014/main" id="{00000000-0008-0000-0000-000036040000}"/>
                  </a:ext>
                </a:extLst>
              </xdr:cNvPr>
              <xdr:cNvSpPr/>
            </xdr:nvSpPr>
            <xdr:spPr bwMode="auto">
              <a:xfrm>
                <a:off x="5857875" y="4794317"/>
                <a:ext cx="180975" cy="14183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142875</xdr:colOff>
          <xdr:row>21</xdr:row>
          <xdr:rowOff>19050</xdr:rowOff>
        </xdr:from>
        <xdr:to>
          <xdr:col>13</xdr:col>
          <xdr:colOff>323850</xdr:colOff>
          <xdr:row>23</xdr:row>
          <xdr:rowOff>180975</xdr:rowOff>
        </xdr:to>
        <xdr:grpSp>
          <xdr:nvGrpSpPr>
            <xdr:cNvPr id="1692" name="Grupė 3">
              <a:extLst>
                <a:ext uri="{FF2B5EF4-FFF2-40B4-BE49-F238E27FC236}">
                  <a16:creationId xmlns:a16="http://schemas.microsoft.com/office/drawing/2014/main" id="{00000000-0008-0000-0000-00009C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658075" y="4537108"/>
              <a:ext cx="660333" cy="665146"/>
              <a:chOff x="5353610" y="3799702"/>
              <a:chExt cx="662828" cy="578887"/>
            </a:xfrm>
          </xdr:grpSpPr>
          <xdr:sp macro="" textlink="">
            <xdr:nvSpPr>
              <xdr:cNvPr id="1032" name="Check Box 8" hidden="1">
                <a:extLst>
                  <a:ext uri="{63B3BB69-23CF-44E3-9099-C40C66FF867C}">
                    <a14:compatExt spid="_x0000_s1032"/>
                  </a:ext>
                  <a:ext uri="{FF2B5EF4-FFF2-40B4-BE49-F238E27FC236}">
                    <a16:creationId xmlns:a16="http://schemas.microsoft.com/office/drawing/2014/main" id="{00000000-0008-0000-0000-000008040000}"/>
                  </a:ext>
                </a:extLst>
              </xdr:cNvPr>
              <xdr:cNvSpPr/>
            </xdr:nvSpPr>
            <xdr:spPr bwMode="auto">
              <a:xfrm>
                <a:off x="5353610" y="3804957"/>
                <a:ext cx="180975" cy="13868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3" name="Check Box 9" hidden="1">
                <a:extLst>
                  <a:ext uri="{63B3BB69-23CF-44E3-9099-C40C66FF867C}">
                    <a14:compatExt spid="_x0000_s1033"/>
                  </a:ext>
                  <a:ext uri="{FF2B5EF4-FFF2-40B4-BE49-F238E27FC236}">
                    <a16:creationId xmlns:a16="http://schemas.microsoft.com/office/drawing/2014/main" id="{00000000-0008-0000-0000-000009040000}"/>
                  </a:ext>
                </a:extLst>
              </xdr:cNvPr>
              <xdr:cNvSpPr/>
            </xdr:nvSpPr>
            <xdr:spPr bwMode="auto">
              <a:xfrm>
                <a:off x="5353610" y="4024268"/>
                <a:ext cx="180975" cy="14113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6" name="Check Box 12" hidden="1">
                <a:extLst>
                  <a:ext uri="{63B3BB69-23CF-44E3-9099-C40C66FF867C}">
                    <a14:compatExt spid="_x0000_s1036"/>
                  </a:ext>
                  <a:ext uri="{FF2B5EF4-FFF2-40B4-BE49-F238E27FC236}">
                    <a16:creationId xmlns:a16="http://schemas.microsoft.com/office/drawing/2014/main" id="{00000000-0008-0000-0000-00000C040000}"/>
                  </a:ext>
                </a:extLst>
              </xdr:cNvPr>
              <xdr:cNvSpPr/>
            </xdr:nvSpPr>
            <xdr:spPr bwMode="auto">
              <a:xfrm>
                <a:off x="5353610" y="4235042"/>
                <a:ext cx="180975" cy="13868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35" name="Check Box 11" hidden="1">
                <a:extLst>
                  <a:ext uri="{63B3BB69-23CF-44E3-9099-C40C66FF867C}">
                    <a14:compatExt spid="_x0000_s1035"/>
                  </a:ext>
                  <a:ext uri="{FF2B5EF4-FFF2-40B4-BE49-F238E27FC236}">
                    <a16:creationId xmlns:a16="http://schemas.microsoft.com/office/drawing/2014/main" id="{00000000-0008-0000-0000-00000B040000}"/>
                  </a:ext>
                </a:extLst>
              </xdr:cNvPr>
              <xdr:cNvSpPr/>
            </xdr:nvSpPr>
            <xdr:spPr bwMode="auto">
              <a:xfrm>
                <a:off x="5835463" y="4013312"/>
                <a:ext cx="180975" cy="144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76" name="Check Box 52" hidden="1">
                <a:extLst>
                  <a:ext uri="{63B3BB69-23CF-44E3-9099-C40C66FF867C}">
                    <a14:compatExt spid="_x0000_s1076"/>
                  </a:ext>
                  <a:ext uri="{FF2B5EF4-FFF2-40B4-BE49-F238E27FC236}">
                    <a16:creationId xmlns:a16="http://schemas.microsoft.com/office/drawing/2014/main" id="{00000000-0008-0000-0000-000034040000}"/>
                  </a:ext>
                </a:extLst>
              </xdr:cNvPr>
              <xdr:cNvSpPr/>
            </xdr:nvSpPr>
            <xdr:spPr bwMode="auto">
              <a:xfrm>
                <a:off x="5835463" y="4234239"/>
                <a:ext cx="180975" cy="1443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92" name="Check Box 68" hidden="1">
                <a:extLst>
                  <a:ext uri="{63B3BB69-23CF-44E3-9099-C40C66FF867C}">
                    <a14:compatExt spid="_x0000_s1092"/>
                  </a:ex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/>
            </xdr:nvSpPr>
            <xdr:spPr bwMode="auto">
              <a:xfrm>
                <a:off x="5835463" y="3799702"/>
                <a:ext cx="180975" cy="1443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27</xdr:row>
          <xdr:rowOff>38100</xdr:rowOff>
        </xdr:from>
        <xdr:to>
          <xdr:col>12</xdr:col>
          <xdr:colOff>327660</xdr:colOff>
          <xdr:row>27</xdr:row>
          <xdr:rowOff>175260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28</xdr:row>
          <xdr:rowOff>30480</xdr:rowOff>
        </xdr:from>
        <xdr:to>
          <xdr:col>12</xdr:col>
          <xdr:colOff>327660</xdr:colOff>
          <xdr:row>28</xdr:row>
          <xdr:rowOff>182880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31</xdr:row>
          <xdr:rowOff>30480</xdr:rowOff>
        </xdr:from>
        <xdr:to>
          <xdr:col>12</xdr:col>
          <xdr:colOff>327660</xdr:colOff>
          <xdr:row>31</xdr:row>
          <xdr:rowOff>182880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29</xdr:row>
          <xdr:rowOff>30480</xdr:rowOff>
        </xdr:from>
        <xdr:to>
          <xdr:col>12</xdr:col>
          <xdr:colOff>327660</xdr:colOff>
          <xdr:row>29</xdr:row>
          <xdr:rowOff>175260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30</xdr:row>
          <xdr:rowOff>68580</xdr:rowOff>
        </xdr:from>
        <xdr:to>
          <xdr:col>12</xdr:col>
          <xdr:colOff>327660</xdr:colOff>
          <xdr:row>30</xdr:row>
          <xdr:rowOff>213360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33</xdr:row>
          <xdr:rowOff>38100</xdr:rowOff>
        </xdr:from>
        <xdr:to>
          <xdr:col>12</xdr:col>
          <xdr:colOff>327660</xdr:colOff>
          <xdr:row>33</xdr:row>
          <xdr:rowOff>182880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36</xdr:row>
          <xdr:rowOff>30480</xdr:rowOff>
        </xdr:from>
        <xdr:to>
          <xdr:col>12</xdr:col>
          <xdr:colOff>327660</xdr:colOff>
          <xdr:row>36</xdr:row>
          <xdr:rowOff>175260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379459</xdr:colOff>
          <xdr:row>43</xdr:row>
          <xdr:rowOff>19036</xdr:rowOff>
        </xdr:from>
        <xdr:to>
          <xdr:col>13</xdr:col>
          <xdr:colOff>77701</xdr:colOff>
          <xdr:row>45</xdr:row>
          <xdr:rowOff>175910</xdr:rowOff>
        </xdr:to>
        <xdr:grpSp>
          <xdr:nvGrpSpPr>
            <xdr:cNvPr id="1697" name="Grupė 6">
              <a:extLst>
                <a:ext uri="{FF2B5EF4-FFF2-40B4-BE49-F238E27FC236}">
                  <a16:creationId xmlns:a16="http://schemas.microsoft.com/office/drawing/2014/main" id="{00000000-0008-0000-0000-0000A106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6896564" y="9073816"/>
              <a:ext cx="179505" cy="0"/>
              <a:chOff x="5612439" y="0"/>
              <a:chExt cx="1560929" cy="9023684"/>
            </a:xfrm>
          </xdr:grpSpPr>
          <xdr:sp macro="" textlink="">
            <xdr:nvSpPr>
              <xdr:cNvPr id="1050" name="Check Box 26" hidden="1">
                <a:extLst>
                  <a:ext uri="{63B3BB69-23CF-44E3-9099-C40C66FF867C}">
                    <a14:compatExt spid="_x0000_s1050"/>
                  </a:ext>
                  <a:ext uri="{FF2B5EF4-FFF2-40B4-BE49-F238E27FC236}">
                    <a16:creationId xmlns:a16="http://schemas.microsoft.com/office/drawing/2014/main" id="{00000000-0008-0000-0000-00001A040000}"/>
                  </a:ext>
                </a:extLst>
              </xdr:cNvPr>
              <xdr:cNvSpPr/>
            </xdr:nvSpPr>
            <xdr:spPr bwMode="auto">
              <a:xfrm>
                <a:off x="6997783" y="9023684"/>
                <a:ext cx="175585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1" name="Check Box 27" hidden="1">
                <a:extLst>
                  <a:ext uri="{63B3BB69-23CF-44E3-9099-C40C66FF867C}">
                    <a14:compatExt spid="_x0000_s1051"/>
                  </a:ext>
                  <a:ext uri="{FF2B5EF4-FFF2-40B4-BE49-F238E27FC236}">
                    <a16:creationId xmlns:a16="http://schemas.microsoft.com/office/drawing/2014/main" id="{00000000-0008-0000-0000-00001B040000}"/>
                  </a:ext>
                </a:extLst>
              </xdr:cNvPr>
              <xdr:cNvSpPr/>
            </xdr:nvSpPr>
            <xdr:spPr bwMode="auto">
              <a:xfrm>
                <a:off x="6997783" y="9023684"/>
                <a:ext cx="175585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52" name="Check Box 28" hidden="1">
                <a:extLst>
                  <a:ext uri="{63B3BB69-23CF-44E3-9099-C40C66FF867C}">
                    <a14:compatExt spid="_x0000_s1052"/>
                  </a:ext>
                  <a:ext uri="{FF2B5EF4-FFF2-40B4-BE49-F238E27FC236}">
                    <a16:creationId xmlns:a16="http://schemas.microsoft.com/office/drawing/2014/main" id="{00000000-0008-0000-0000-00001C040000}"/>
                  </a:ext>
                </a:extLst>
              </xdr:cNvPr>
              <xdr:cNvSpPr/>
            </xdr:nvSpPr>
            <xdr:spPr bwMode="auto">
              <a:xfrm>
                <a:off x="5612439" y="0"/>
                <a:ext cx="175593" cy="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137160</xdr:colOff>
          <xdr:row>46</xdr:row>
          <xdr:rowOff>30480</xdr:rowOff>
        </xdr:from>
        <xdr:to>
          <xdr:col>12</xdr:col>
          <xdr:colOff>312420</xdr:colOff>
          <xdr:row>46</xdr:row>
          <xdr:rowOff>160020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137160</xdr:colOff>
          <xdr:row>47</xdr:row>
          <xdr:rowOff>30480</xdr:rowOff>
        </xdr:from>
        <xdr:to>
          <xdr:col>13</xdr:col>
          <xdr:colOff>312420</xdr:colOff>
          <xdr:row>47</xdr:row>
          <xdr:rowOff>160020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137160</xdr:colOff>
          <xdr:row>48</xdr:row>
          <xdr:rowOff>30480</xdr:rowOff>
        </xdr:from>
        <xdr:to>
          <xdr:col>13</xdr:col>
          <xdr:colOff>312420</xdr:colOff>
          <xdr:row>48</xdr:row>
          <xdr:rowOff>182880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66</xdr:row>
          <xdr:rowOff>60960</xdr:rowOff>
        </xdr:from>
        <xdr:to>
          <xdr:col>12</xdr:col>
          <xdr:colOff>365760</xdr:colOff>
          <xdr:row>66</xdr:row>
          <xdr:rowOff>213360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70</xdr:row>
          <xdr:rowOff>38100</xdr:rowOff>
        </xdr:from>
        <xdr:to>
          <xdr:col>12</xdr:col>
          <xdr:colOff>365760</xdr:colOff>
          <xdr:row>70</xdr:row>
          <xdr:rowOff>182880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71</xdr:row>
          <xdr:rowOff>30480</xdr:rowOff>
        </xdr:from>
        <xdr:to>
          <xdr:col>12</xdr:col>
          <xdr:colOff>365760</xdr:colOff>
          <xdr:row>71</xdr:row>
          <xdr:rowOff>175260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76</xdr:row>
          <xdr:rowOff>30480</xdr:rowOff>
        </xdr:from>
        <xdr:to>
          <xdr:col>12</xdr:col>
          <xdr:colOff>365760</xdr:colOff>
          <xdr:row>76</xdr:row>
          <xdr:rowOff>175260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77</xdr:row>
          <xdr:rowOff>30480</xdr:rowOff>
        </xdr:from>
        <xdr:to>
          <xdr:col>12</xdr:col>
          <xdr:colOff>365760</xdr:colOff>
          <xdr:row>77</xdr:row>
          <xdr:rowOff>175260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67</xdr:row>
          <xdr:rowOff>38100</xdr:rowOff>
        </xdr:from>
        <xdr:to>
          <xdr:col>12</xdr:col>
          <xdr:colOff>365760</xdr:colOff>
          <xdr:row>67</xdr:row>
          <xdr:rowOff>182880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69</xdr:row>
          <xdr:rowOff>38100</xdr:rowOff>
        </xdr:from>
        <xdr:to>
          <xdr:col>12</xdr:col>
          <xdr:colOff>365760</xdr:colOff>
          <xdr:row>69</xdr:row>
          <xdr:rowOff>182880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74</xdr:row>
          <xdr:rowOff>60960</xdr:rowOff>
        </xdr:from>
        <xdr:to>
          <xdr:col>12</xdr:col>
          <xdr:colOff>365760</xdr:colOff>
          <xdr:row>74</xdr:row>
          <xdr:rowOff>198120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75</xdr:row>
          <xdr:rowOff>38100</xdr:rowOff>
        </xdr:from>
        <xdr:to>
          <xdr:col>12</xdr:col>
          <xdr:colOff>365760</xdr:colOff>
          <xdr:row>75</xdr:row>
          <xdr:rowOff>182880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68</xdr:row>
          <xdr:rowOff>30480</xdr:rowOff>
        </xdr:from>
        <xdr:to>
          <xdr:col>12</xdr:col>
          <xdr:colOff>365760</xdr:colOff>
          <xdr:row>68</xdr:row>
          <xdr:rowOff>175260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72</xdr:row>
          <xdr:rowOff>30480</xdr:rowOff>
        </xdr:from>
        <xdr:to>
          <xdr:col>12</xdr:col>
          <xdr:colOff>365760</xdr:colOff>
          <xdr:row>72</xdr:row>
          <xdr:rowOff>175260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73</xdr:row>
          <xdr:rowOff>30480</xdr:rowOff>
        </xdr:from>
        <xdr:to>
          <xdr:col>12</xdr:col>
          <xdr:colOff>365760</xdr:colOff>
          <xdr:row>73</xdr:row>
          <xdr:rowOff>175260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51</xdr:row>
          <xdr:rowOff>60960</xdr:rowOff>
        </xdr:from>
        <xdr:to>
          <xdr:col>12</xdr:col>
          <xdr:colOff>365760</xdr:colOff>
          <xdr:row>51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52</xdr:row>
          <xdr:rowOff>45720</xdr:rowOff>
        </xdr:from>
        <xdr:to>
          <xdr:col>12</xdr:col>
          <xdr:colOff>365760</xdr:colOff>
          <xdr:row>52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54</xdr:row>
          <xdr:rowOff>45720</xdr:rowOff>
        </xdr:from>
        <xdr:to>
          <xdr:col>12</xdr:col>
          <xdr:colOff>365760</xdr:colOff>
          <xdr:row>54</xdr:row>
          <xdr:rowOff>182880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57</xdr:row>
          <xdr:rowOff>38100</xdr:rowOff>
        </xdr:from>
        <xdr:to>
          <xdr:col>12</xdr:col>
          <xdr:colOff>365760</xdr:colOff>
          <xdr:row>57</xdr:row>
          <xdr:rowOff>182880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58</xdr:row>
          <xdr:rowOff>38100</xdr:rowOff>
        </xdr:from>
        <xdr:to>
          <xdr:col>12</xdr:col>
          <xdr:colOff>365760</xdr:colOff>
          <xdr:row>58</xdr:row>
          <xdr:rowOff>175260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55</xdr:row>
          <xdr:rowOff>60960</xdr:rowOff>
        </xdr:from>
        <xdr:to>
          <xdr:col>12</xdr:col>
          <xdr:colOff>365760</xdr:colOff>
          <xdr:row>55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56</xdr:row>
          <xdr:rowOff>38100</xdr:rowOff>
        </xdr:from>
        <xdr:to>
          <xdr:col>12</xdr:col>
          <xdr:colOff>365760</xdr:colOff>
          <xdr:row>56</xdr:row>
          <xdr:rowOff>175260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59</xdr:row>
          <xdr:rowOff>38100</xdr:rowOff>
        </xdr:from>
        <xdr:to>
          <xdr:col>12</xdr:col>
          <xdr:colOff>365760</xdr:colOff>
          <xdr:row>59</xdr:row>
          <xdr:rowOff>182880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60</xdr:row>
          <xdr:rowOff>30480</xdr:rowOff>
        </xdr:from>
        <xdr:to>
          <xdr:col>12</xdr:col>
          <xdr:colOff>365760</xdr:colOff>
          <xdr:row>60</xdr:row>
          <xdr:rowOff>182880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61</xdr:row>
          <xdr:rowOff>30480</xdr:rowOff>
        </xdr:from>
        <xdr:to>
          <xdr:col>12</xdr:col>
          <xdr:colOff>350520</xdr:colOff>
          <xdr:row>61</xdr:row>
          <xdr:rowOff>182880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182880</xdr:colOff>
          <xdr:row>53</xdr:row>
          <xdr:rowOff>38100</xdr:rowOff>
        </xdr:from>
        <xdr:to>
          <xdr:col>12</xdr:col>
          <xdr:colOff>365760</xdr:colOff>
          <xdr:row>53</xdr:row>
          <xdr:rowOff>182880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175260</xdr:colOff>
          <xdr:row>62</xdr:row>
          <xdr:rowOff>22860</xdr:rowOff>
        </xdr:from>
        <xdr:to>
          <xdr:col>12</xdr:col>
          <xdr:colOff>350520</xdr:colOff>
          <xdr:row>62</xdr:row>
          <xdr:rowOff>175260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152400</xdr:colOff>
          <xdr:row>18</xdr:row>
          <xdr:rowOff>30480</xdr:rowOff>
        </xdr:from>
        <xdr:to>
          <xdr:col>12</xdr:col>
          <xdr:colOff>335280</xdr:colOff>
          <xdr:row>18</xdr:row>
          <xdr:rowOff>175260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34</xdr:row>
          <xdr:rowOff>38100</xdr:rowOff>
        </xdr:from>
        <xdr:to>
          <xdr:col>12</xdr:col>
          <xdr:colOff>327660</xdr:colOff>
          <xdr:row>34</xdr:row>
          <xdr:rowOff>182880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34</xdr:row>
          <xdr:rowOff>38100</xdr:rowOff>
        </xdr:from>
        <xdr:to>
          <xdr:col>12</xdr:col>
          <xdr:colOff>327660</xdr:colOff>
          <xdr:row>34</xdr:row>
          <xdr:rowOff>182880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35</xdr:row>
          <xdr:rowOff>38100</xdr:rowOff>
        </xdr:from>
        <xdr:to>
          <xdr:col>12</xdr:col>
          <xdr:colOff>327660</xdr:colOff>
          <xdr:row>35</xdr:row>
          <xdr:rowOff>182880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144780</xdr:colOff>
          <xdr:row>32</xdr:row>
          <xdr:rowOff>38100</xdr:rowOff>
        </xdr:from>
        <xdr:to>
          <xdr:col>12</xdr:col>
          <xdr:colOff>327660</xdr:colOff>
          <xdr:row>32</xdr:row>
          <xdr:rowOff>182880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137160</xdr:colOff>
          <xdr:row>27</xdr:row>
          <xdr:rowOff>30480</xdr:rowOff>
        </xdr:from>
        <xdr:to>
          <xdr:col>13</xdr:col>
          <xdr:colOff>312420</xdr:colOff>
          <xdr:row>27</xdr:row>
          <xdr:rowOff>160020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137160</xdr:colOff>
          <xdr:row>37</xdr:row>
          <xdr:rowOff>30480</xdr:rowOff>
        </xdr:from>
        <xdr:to>
          <xdr:col>13</xdr:col>
          <xdr:colOff>312420</xdr:colOff>
          <xdr:row>37</xdr:row>
          <xdr:rowOff>160020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AV290"/>
  <sheetViews>
    <sheetView showGridLines="0" tabSelected="1" zoomScale="95" zoomScaleNormal="95" zoomScaleSheetLayoutView="85" workbookViewId="0">
      <selection activeCell="A7" sqref="A7"/>
    </sheetView>
  </sheetViews>
  <sheetFormatPr defaultColWidth="9.109375" defaultRowHeight="15.6" zeroHeight="1" x14ac:dyDescent="0.25"/>
  <cols>
    <col min="1" max="1" width="14.109375" style="30" customWidth="1"/>
    <col min="2" max="2" width="2.88671875" style="2" customWidth="1"/>
    <col min="3" max="3" width="3.44140625" style="2" customWidth="1"/>
    <col min="4" max="4" width="16.6640625" style="2" customWidth="1"/>
    <col min="5" max="5" width="13.44140625" style="2" customWidth="1"/>
    <col min="6" max="6" width="17.88671875" style="2" customWidth="1"/>
    <col min="7" max="9" width="4.33203125" style="2" customWidth="1"/>
    <col min="10" max="12" width="4.5546875" style="2" customWidth="1"/>
    <col min="13" max="14" width="7.109375" style="2" customWidth="1"/>
    <col min="15" max="15" width="8.109375" style="30" customWidth="1"/>
    <col min="16" max="16" width="31.33203125" style="6" customWidth="1"/>
    <col min="17" max="17" width="4.88671875" style="6" customWidth="1"/>
    <col min="18" max="18" width="52" style="6" customWidth="1"/>
    <col min="19" max="19" width="4" style="178" customWidth="1"/>
    <col min="20" max="20" width="30.6640625" style="143" customWidth="1"/>
    <col min="21" max="22" width="9.44140625" style="144" customWidth="1"/>
    <col min="23" max="25" width="11.33203125" style="144" customWidth="1"/>
    <col min="26" max="26" width="6.109375" style="144" customWidth="1"/>
    <col min="27" max="32" width="9.44140625" style="144" customWidth="1"/>
    <col min="33" max="33" width="9.44140625" style="30" customWidth="1"/>
    <col min="34" max="48" width="9.44140625" style="189" customWidth="1"/>
    <col min="49" max="166" width="9.44140625" style="30" customWidth="1"/>
    <col min="167" max="167" width="9.109375" style="30" customWidth="1"/>
    <col min="168" max="16384" width="9.109375" style="30"/>
  </cols>
  <sheetData>
    <row r="1" spans="2:48" x14ac:dyDescent="0.25">
      <c r="J1" s="199"/>
      <c r="K1" s="199" t="s">
        <v>161</v>
      </c>
    </row>
    <row r="2" spans="2:48" x14ac:dyDescent="0.25">
      <c r="J2" s="199"/>
      <c r="K2" s="199" t="s">
        <v>162</v>
      </c>
    </row>
    <row r="3" spans="2:48" x14ac:dyDescent="0.25">
      <c r="J3" s="199"/>
      <c r="K3" s="199" t="s">
        <v>163</v>
      </c>
    </row>
    <row r="4" spans="2:48" x14ac:dyDescent="0.25">
      <c r="J4" s="199"/>
      <c r="K4" s="199" t="s">
        <v>164</v>
      </c>
    </row>
    <row r="5" spans="2:48" s="97" customFormat="1" ht="18" x14ac:dyDescent="0.25">
      <c r="B5" s="231" t="s">
        <v>144</v>
      </c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86"/>
      <c r="P5" s="6"/>
      <c r="Q5" s="6"/>
      <c r="R5" s="6"/>
      <c r="S5" s="178"/>
      <c r="T5" s="142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</row>
    <row r="6" spans="2:48" s="97" customFormat="1" ht="11.25" customHeight="1" x14ac:dyDescent="0.25">
      <c r="B6" s="234" t="s">
        <v>165</v>
      </c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87"/>
      <c r="R6" s="6"/>
      <c r="S6" s="178"/>
      <c r="T6" s="142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</row>
    <row r="7" spans="2:48" s="97" customFormat="1" ht="16.5" customHeight="1" x14ac:dyDescent="0.25"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87"/>
      <c r="P7" s="94" t="s">
        <v>0</v>
      </c>
      <c r="Q7" s="98">
        <f>U80</f>
        <v>0</v>
      </c>
      <c r="R7" s="99" t="str">
        <f>IF(Q7&gt;7,"","Dalykų turi būti ne mažiau kaip 8")</f>
        <v>Dalykų turi būti ne mažiau kaip 8</v>
      </c>
      <c r="S7" s="178"/>
      <c r="T7" s="142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</row>
    <row r="8" spans="2:48" ht="6.75" customHeight="1" x14ac:dyDescent="0.25">
      <c r="P8" s="95"/>
      <c r="Q8" s="99"/>
      <c r="R8" s="165"/>
    </row>
    <row r="9" spans="2:48" ht="16.5" customHeight="1" x14ac:dyDescent="0.25">
      <c r="C9" s="4"/>
      <c r="D9" s="5" t="s">
        <v>89</v>
      </c>
      <c r="E9" s="233"/>
      <c r="F9" s="233"/>
      <c r="G9" s="6"/>
      <c r="H9" s="6"/>
      <c r="I9" s="5" t="s">
        <v>90</v>
      </c>
      <c r="J9" s="233"/>
      <c r="K9" s="233"/>
      <c r="L9" s="233"/>
      <c r="M9" s="233"/>
      <c r="N9" s="233"/>
      <c r="O9" s="166"/>
      <c r="P9" s="94" t="s">
        <v>1</v>
      </c>
      <c r="Q9" s="98">
        <f>U82</f>
        <v>0</v>
      </c>
      <c r="R9" s="99" t="str">
        <f>IF((Q9&lt;=35)*(Q9&gt;=28),"","Pamokų turi būti ne mažiau kaip 28 ir ne daugiau kaip 35")</f>
        <v>Pamokų turi būti ne mažiau kaip 28 ir ne daugiau kaip 35</v>
      </c>
    </row>
    <row r="10" spans="2:48" ht="9.75" customHeight="1" x14ac:dyDescent="0.25">
      <c r="B10" s="7"/>
      <c r="C10" s="8"/>
      <c r="D10" s="9"/>
      <c r="E10" s="10"/>
      <c r="F10" s="10"/>
      <c r="G10" s="10"/>
      <c r="H10" s="10"/>
      <c r="I10" s="9"/>
      <c r="K10" s="9"/>
      <c r="L10" s="9"/>
      <c r="M10" s="11"/>
      <c r="N10" s="7"/>
      <c r="P10" s="95"/>
      <c r="Q10" s="99"/>
      <c r="R10" s="165"/>
    </row>
    <row r="11" spans="2:48" ht="16.5" customHeight="1" x14ac:dyDescent="0.25">
      <c r="C11" s="12"/>
      <c r="D11" s="5"/>
      <c r="E11" s="5"/>
      <c r="G11" s="5"/>
      <c r="H11" s="5"/>
      <c r="I11" s="5" t="s">
        <v>102</v>
      </c>
      <c r="J11" s="233"/>
      <c r="K11" s="233"/>
      <c r="L11" s="233"/>
      <c r="M11" s="233"/>
      <c r="N11" s="233"/>
      <c r="P11" s="94" t="s">
        <v>3</v>
      </c>
      <c r="Q11" s="98">
        <f>U84</f>
        <v>0</v>
      </c>
      <c r="R11" s="99" t="str">
        <f>IF((Q11&lt;=35)*(Q11&gt;=28),"","Pamokų turi būti ne mažiau kaip 28 ir ne daugiau kaip 35")</f>
        <v>Pamokų turi būti ne mažiau kaip 28 ir ne daugiau kaip 35</v>
      </c>
    </row>
    <row r="12" spans="2:48" ht="9" customHeight="1" x14ac:dyDescent="0.25">
      <c r="C12" s="12"/>
      <c r="J12" s="5"/>
      <c r="K12" s="13"/>
      <c r="L12" s="13"/>
    </row>
    <row r="13" spans="2:48" s="88" customFormat="1" ht="12.75" customHeight="1" x14ac:dyDescent="0.25">
      <c r="B13" s="79"/>
      <c r="C13" s="58" t="s">
        <v>96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P13" s="167"/>
      <c r="Q13" s="167"/>
      <c r="R13" s="167"/>
      <c r="S13" s="179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</row>
    <row r="14" spans="2:48" ht="8.25" customHeight="1" x14ac:dyDescent="0.25">
      <c r="C14" s="14"/>
    </row>
    <row r="15" spans="2:48" ht="24" customHeight="1" x14ac:dyDescent="0.25">
      <c r="C15" s="232" t="s">
        <v>4</v>
      </c>
      <c r="D15" s="226" t="s">
        <v>5</v>
      </c>
      <c r="E15" s="226" t="s">
        <v>6</v>
      </c>
      <c r="F15" s="226"/>
      <c r="G15" s="229" t="s">
        <v>112</v>
      </c>
      <c r="H15" s="229" t="s">
        <v>113</v>
      </c>
      <c r="I15" s="229" t="s">
        <v>114</v>
      </c>
      <c r="J15" s="235" t="s">
        <v>7</v>
      </c>
      <c r="K15" s="226" t="s">
        <v>8</v>
      </c>
      <c r="L15" s="226"/>
      <c r="M15" s="228" t="s">
        <v>52</v>
      </c>
      <c r="N15" s="228" t="s">
        <v>53</v>
      </c>
      <c r="O15" s="80"/>
      <c r="T15" s="230" t="s">
        <v>6</v>
      </c>
      <c r="U15" s="227" t="s">
        <v>9</v>
      </c>
      <c r="V15" s="227" t="s">
        <v>10</v>
      </c>
      <c r="W15" s="230" t="s">
        <v>11</v>
      </c>
      <c r="X15" s="230" t="s">
        <v>12</v>
      </c>
      <c r="Y15" s="230" t="s">
        <v>13</v>
      </c>
      <c r="Z15" s="230" t="s">
        <v>7</v>
      </c>
      <c r="AA15" s="230" t="s">
        <v>14</v>
      </c>
      <c r="AB15" s="230" t="s">
        <v>15</v>
      </c>
      <c r="AC15" s="230" t="s">
        <v>16</v>
      </c>
    </row>
    <row r="16" spans="2:48" ht="46.5" customHeight="1" x14ac:dyDescent="0.25">
      <c r="C16" s="232"/>
      <c r="D16" s="226"/>
      <c r="E16" s="226"/>
      <c r="F16" s="226"/>
      <c r="G16" s="229"/>
      <c r="H16" s="229"/>
      <c r="I16" s="229"/>
      <c r="J16" s="235"/>
      <c r="K16" s="164" t="s">
        <v>17</v>
      </c>
      <c r="L16" s="164" t="s">
        <v>18</v>
      </c>
      <c r="M16" s="226"/>
      <c r="N16" s="226"/>
      <c r="O16" s="32"/>
      <c r="T16" s="230"/>
      <c r="U16" s="227"/>
      <c r="V16" s="227"/>
      <c r="W16" s="230"/>
      <c r="X16" s="230"/>
      <c r="Y16" s="230"/>
      <c r="Z16" s="230"/>
      <c r="AA16" s="230"/>
      <c r="AB16" s="230"/>
      <c r="AC16" s="230"/>
    </row>
    <row r="17" spans="2:29" ht="20.100000000000001" customHeight="1" x14ac:dyDescent="0.25">
      <c r="B17" s="271" t="s">
        <v>139</v>
      </c>
      <c r="C17" s="248">
        <v>1</v>
      </c>
      <c r="D17" s="257" t="s">
        <v>19</v>
      </c>
      <c r="E17" s="216" t="s">
        <v>20</v>
      </c>
      <c r="F17" s="216"/>
      <c r="G17" s="156"/>
      <c r="H17" s="156"/>
      <c r="I17" s="156"/>
      <c r="J17" s="15" t="str">
        <f t="shared" ref="J17:J24" si="0">Z17</f>
        <v/>
      </c>
      <c r="K17" s="15" t="str">
        <f t="shared" ref="K17:L19" si="1">AB17</f>
        <v/>
      </c>
      <c r="L17" s="15" t="str">
        <f t="shared" si="1"/>
        <v/>
      </c>
      <c r="M17" s="16"/>
      <c r="N17" s="17" t="s">
        <v>21</v>
      </c>
      <c r="O17" s="31"/>
      <c r="P17" s="220" t="str">
        <f>IF(AND(NOT(U17),NOT(U18)),"Privaloma pasirinkti vieną dorinio ugdymo dalyką",IF(AND(U17,U18),"Galima riktis tik vieną dorinio ugdymo dalyką",""))</f>
        <v>Privaloma pasirinkti vieną dorinio ugdymo dalyką</v>
      </c>
      <c r="Q17" s="220"/>
      <c r="R17" s="220"/>
      <c r="S17" s="180"/>
      <c r="T17" s="146" t="str">
        <f>E17</f>
        <v>Tikyba</v>
      </c>
      <c r="U17" s="144" t="b">
        <v>0</v>
      </c>
      <c r="W17" s="206">
        <f>IF((U17)*(X17=1),1,0)</f>
        <v>0</v>
      </c>
      <c r="X17" s="206">
        <f>IF(U17=U18,0,1)</f>
        <v>0</v>
      </c>
      <c r="Y17" s="206"/>
      <c r="Z17" s="206" t="str">
        <f>IF(AA17=2,"B","")</f>
        <v/>
      </c>
      <c r="AA17" s="206">
        <f>IF((U17=TRUE)*(X17=1),2,0)</f>
        <v>0</v>
      </c>
      <c r="AB17" s="206" t="str">
        <f>IF(AA17=2,1,"")</f>
        <v/>
      </c>
      <c r="AC17" s="206" t="str">
        <f>IF(AA17=2,1,"")</f>
        <v/>
      </c>
    </row>
    <row r="18" spans="2:29" ht="20.100000000000001" customHeight="1" x14ac:dyDescent="0.25">
      <c r="B18" s="272"/>
      <c r="C18" s="248"/>
      <c r="D18" s="257"/>
      <c r="E18" s="208" t="s">
        <v>22</v>
      </c>
      <c r="F18" s="208"/>
      <c r="G18" s="152"/>
      <c r="H18" s="152"/>
      <c r="I18" s="152"/>
      <c r="J18" s="18" t="str">
        <f t="shared" si="0"/>
        <v/>
      </c>
      <c r="K18" s="18" t="str">
        <f t="shared" si="1"/>
        <v/>
      </c>
      <c r="L18" s="18" t="str">
        <f t="shared" si="1"/>
        <v/>
      </c>
      <c r="M18" s="19"/>
      <c r="N18" s="20" t="s">
        <v>21</v>
      </c>
      <c r="O18" s="31"/>
      <c r="P18" s="220"/>
      <c r="Q18" s="220"/>
      <c r="R18" s="220"/>
      <c r="S18" s="180"/>
      <c r="T18" s="146" t="str">
        <f>E18</f>
        <v>Etika</v>
      </c>
      <c r="U18" s="144" t="b">
        <v>0</v>
      </c>
      <c r="W18" s="206">
        <f>IF((U18)*(X18=1),1,0)</f>
        <v>0</v>
      </c>
      <c r="X18" s="206">
        <f>IF(U17=U18,0,1)</f>
        <v>0</v>
      </c>
      <c r="Y18" s="206"/>
      <c r="Z18" s="206" t="str">
        <f>IF(AA18=2,"B","")</f>
        <v/>
      </c>
      <c r="AA18" s="206">
        <f>IF((U18=TRUE)*(X18=1),2,0)</f>
        <v>0</v>
      </c>
      <c r="AB18" s="206" t="str">
        <f>IF(AA18=2,1,"")</f>
        <v/>
      </c>
      <c r="AC18" s="206" t="str">
        <f>IF(AA18=2,1,"")</f>
        <v/>
      </c>
    </row>
    <row r="19" spans="2:29" ht="20.100000000000001" customHeight="1" x14ac:dyDescent="0.25">
      <c r="B19" s="272"/>
      <c r="C19" s="159">
        <v>2</v>
      </c>
      <c r="D19" s="160" t="s">
        <v>54</v>
      </c>
      <c r="E19" s="209" t="s">
        <v>159</v>
      </c>
      <c r="F19" s="210"/>
      <c r="G19" s="162"/>
      <c r="H19" s="162"/>
      <c r="I19" s="162"/>
      <c r="J19" s="106" t="str">
        <f t="shared" si="0"/>
        <v/>
      </c>
      <c r="K19" s="106" t="str">
        <f t="shared" si="1"/>
        <v/>
      </c>
      <c r="L19" s="106" t="str">
        <f t="shared" si="1"/>
        <v/>
      </c>
      <c r="M19" s="19"/>
      <c r="N19" s="161"/>
      <c r="O19" s="82"/>
      <c r="P19" s="222" t="str">
        <f>IF(AND(NOT(U19),NOT(V19)),"Privaloma pasirinkti lietuvių kalbos A arba B kursą",IF(AND(U19,V19),"Galima rinktis tik A arba B kursą",""))</f>
        <v>Privaloma pasirinkti lietuvių kalbos A arba B kursą</v>
      </c>
      <c r="Q19" s="222"/>
      <c r="R19" s="222"/>
      <c r="T19" s="146" t="str">
        <f>E19</f>
        <v>Lietuvių kalba ir literatūra</v>
      </c>
      <c r="U19" s="206" t="b">
        <v>0</v>
      </c>
      <c r="V19" s="144" t="b">
        <v>0</v>
      </c>
      <c r="W19" s="206">
        <f>IF(OR(U19,V19),1,0)</f>
        <v>0</v>
      </c>
      <c r="X19" s="206">
        <f>W19</f>
        <v>0</v>
      </c>
      <c r="Y19" s="206"/>
      <c r="Z19" s="206" t="str">
        <f>IF(AA19=8,"B",IF(AA19=12,"A",""))</f>
        <v/>
      </c>
      <c r="AA19" s="206">
        <f>IF((U19=TRUE)*(V19=FALSE),8,IF((U19=FALSE)*(V19=TRUE),12,0))</f>
        <v>0</v>
      </c>
      <c r="AB19" s="206" t="str">
        <f>IF(AA19=0,"",IF(AA19=8,4,IF(AA19=12,6,6)))</f>
        <v/>
      </c>
      <c r="AC19" s="206" t="str">
        <f>IF(AA19=0,"",IF(AA19=8,4,IF(AA19=12,6,6)))</f>
        <v/>
      </c>
    </row>
    <row r="20" spans="2:29" ht="20.100000000000001" customHeight="1" x14ac:dyDescent="0.25">
      <c r="B20" s="272"/>
      <c r="C20" s="248">
        <v>3</v>
      </c>
      <c r="D20" s="257" t="s">
        <v>140</v>
      </c>
      <c r="E20" s="216" t="s">
        <v>146</v>
      </c>
      <c r="F20" s="216"/>
      <c r="G20" s="156"/>
      <c r="H20" s="156"/>
      <c r="I20" s="156"/>
      <c r="J20" s="23" t="str">
        <f t="shared" si="0"/>
        <v/>
      </c>
      <c r="K20" s="15" t="str">
        <f>AB20</f>
        <v/>
      </c>
      <c r="L20" s="15" t="str">
        <f>AC20</f>
        <v/>
      </c>
      <c r="M20" s="123"/>
      <c r="N20" s="124"/>
      <c r="O20" s="82"/>
      <c r="P20" s="253" t="str">
        <f>IF(SUM(Y20:Y21)=0,"Privaloma pasirinkti užsienio kalbą.",IF(Y20+Y21&gt;1,"Galima pasirinkti tik vieną privalomąją užsienio kalbą. Norėdami mokytis daugiau užsienio kalbų, pasirinkite pasirenkamąją (arba pradedantiesiems) užsienio kalbą. Žr. Nr. 10,11 ir Nr. 12",""))</f>
        <v>Privaloma pasirinkti užsienio kalbą.</v>
      </c>
      <c r="Q20" s="253"/>
      <c r="R20" s="253"/>
      <c r="S20" s="181"/>
      <c r="T20" s="150" t="s">
        <v>23</v>
      </c>
      <c r="U20" s="206"/>
      <c r="V20" s="144" t="b">
        <v>0</v>
      </c>
      <c r="W20" s="206">
        <f>IF((U20 +V20)*NOT(U20*V20),1,0)</f>
        <v>0</v>
      </c>
      <c r="X20" s="206">
        <f>IF(OR(AND(V20,NOT(V21)),AND(V21,NOT(V20))),1,0)</f>
        <v>0</v>
      </c>
      <c r="Y20" s="206">
        <f>IF((U20=V20)*(U20=TRUE)*(V20=TRUE),2,IF((U20=V20),0,1))</f>
        <v>0</v>
      </c>
      <c r="Z20" s="206" t="str">
        <f>IF(AA20=0,"","B2")</f>
        <v/>
      </c>
      <c r="AA20" s="206">
        <f>IF((U20=FALSE)*(V20=TRUE)*(X20=1),8,0)</f>
        <v>0</v>
      </c>
      <c r="AB20" s="206" t="str">
        <f>IF(AA20=0,"",4)</f>
        <v/>
      </c>
      <c r="AC20" s="206" t="str">
        <f>IF(AA20=0,"",4)</f>
        <v/>
      </c>
    </row>
    <row r="21" spans="2:29" ht="20.100000000000001" customHeight="1" x14ac:dyDescent="0.25">
      <c r="B21" s="272"/>
      <c r="C21" s="248"/>
      <c r="D21" s="257"/>
      <c r="E21" s="208" t="s">
        <v>145</v>
      </c>
      <c r="F21" s="208"/>
      <c r="G21" s="152"/>
      <c r="H21" s="152"/>
      <c r="I21" s="152"/>
      <c r="J21" s="18" t="str">
        <f t="shared" si="0"/>
        <v/>
      </c>
      <c r="K21" s="18" t="str">
        <f t="shared" ref="K21:K32" si="2">AB21</f>
        <v/>
      </c>
      <c r="L21" s="18" t="str">
        <f t="shared" ref="L21:L32" si="3">AC21</f>
        <v/>
      </c>
      <c r="M21" s="213"/>
      <c r="N21" s="214"/>
      <c r="O21" s="82"/>
      <c r="P21" s="253"/>
      <c r="Q21" s="253"/>
      <c r="R21" s="253"/>
      <c r="S21" s="181"/>
      <c r="T21" s="146" t="str">
        <f>E21</f>
        <v>Anglų kalba B1</v>
      </c>
      <c r="V21" s="144" t="b">
        <v>0</v>
      </c>
      <c r="W21" s="206">
        <f>IF((U21 +V21)*NOT(U21*V21),1,0)</f>
        <v>0</v>
      </c>
      <c r="X21" s="206">
        <f>IF(OR(AND(V20,NOT(V21)),AND(V21,NOT(V20))),1,0)</f>
        <v>0</v>
      </c>
      <c r="Y21" s="206">
        <f>IF((U21=V21)*(U21=TRUE)*(V21=TRUE),2,IF((U21=V21),0,1))</f>
        <v>0</v>
      </c>
      <c r="Z21" s="206" t="str">
        <f>IF(AA21=0,"","B1")</f>
        <v/>
      </c>
      <c r="AA21" s="206">
        <f>IF((U21=FALSE)*(V21=TRUE)*(X21=1),6,0)</f>
        <v>0</v>
      </c>
      <c r="AB21" s="206" t="str">
        <f>IF(AA21=0,"",4)</f>
        <v/>
      </c>
      <c r="AC21" s="206" t="str">
        <f>IF(AA21=0,"",4)</f>
        <v/>
      </c>
    </row>
    <row r="22" spans="2:29" ht="20.100000000000001" customHeight="1" x14ac:dyDescent="0.25">
      <c r="B22" s="272"/>
      <c r="C22" s="248">
        <v>4</v>
      </c>
      <c r="D22" s="257" t="s">
        <v>59</v>
      </c>
      <c r="E22" s="216" t="s">
        <v>25</v>
      </c>
      <c r="F22" s="216"/>
      <c r="G22" s="100"/>
      <c r="H22" s="100"/>
      <c r="I22" s="100"/>
      <c r="J22" s="23" t="str">
        <f t="shared" si="0"/>
        <v/>
      </c>
      <c r="K22" s="15" t="str">
        <f>AB22</f>
        <v/>
      </c>
      <c r="L22" s="15" t="str">
        <f>AC22</f>
        <v/>
      </c>
      <c r="M22" s="122"/>
      <c r="N22" s="61"/>
      <c r="O22" s="82"/>
      <c r="P22" s="207" t="str">
        <f>IF(SUM(Y22:Y23)=0,"Privaloma pasirinkti bent vieną iš socialinių mokslų.",IF(OR(Y22=2,Y23=2),"Galima rinktis tik A arba B kursą",""))</f>
        <v>Privaloma pasirinkti bent vieną iš socialinių mokslų.</v>
      </c>
      <c r="Q22" s="207"/>
      <c r="R22" s="207"/>
      <c r="S22" s="180"/>
      <c r="T22" s="150" t="s">
        <v>25</v>
      </c>
      <c r="U22" s="206" t="b">
        <v>0</v>
      </c>
      <c r="V22" s="144" t="b">
        <v>0</v>
      </c>
      <c r="W22" s="206">
        <f>IF((U22 +V22)*NOT(U22*V22),1,0)</f>
        <v>0</v>
      </c>
      <c r="X22" s="206">
        <f>IF((W22=1)*((Y22=1)+(Y22=0)),1,0)</f>
        <v>0</v>
      </c>
      <c r="Y22" s="206">
        <f>IF((U22=V22)*(U22=TRUE)*(V22=TRUE),2,IF((U22=V22),0,1))</f>
        <v>0</v>
      </c>
      <c r="Z22" s="206" t="str">
        <f>IF(AA22=4,"B",IF(AA22=8,"A",""))</f>
        <v/>
      </c>
      <c r="AA22" s="206">
        <f>IF((U22=TRUE)*(V22=FALSE)*(X22=1),4,IF((U22=FALSE)*(V22=TRUE)*(X22=1),8,0))</f>
        <v>0</v>
      </c>
      <c r="AB22" s="206" t="str">
        <f>IF(AA22=0,"",IF(AA22=4,2,4))</f>
        <v/>
      </c>
      <c r="AC22" s="206" t="str">
        <f>IF(AA22=0,"",IF(AA22=4,2,4))</f>
        <v/>
      </c>
    </row>
    <row r="23" spans="2:29" ht="20.100000000000001" customHeight="1" x14ac:dyDescent="0.25">
      <c r="B23" s="272"/>
      <c r="C23" s="248"/>
      <c r="D23" s="257"/>
      <c r="E23" s="208" t="s">
        <v>26</v>
      </c>
      <c r="F23" s="208"/>
      <c r="G23" s="152"/>
      <c r="H23" s="152"/>
      <c r="I23" s="152"/>
      <c r="J23" s="18" t="str">
        <f t="shared" si="0"/>
        <v/>
      </c>
      <c r="K23" s="18" t="str">
        <f t="shared" si="2"/>
        <v/>
      </c>
      <c r="L23" s="18" t="str">
        <f t="shared" si="3"/>
        <v/>
      </c>
      <c r="M23" s="19"/>
      <c r="N23" s="161"/>
      <c r="O23" s="82"/>
      <c r="P23" s="207"/>
      <c r="Q23" s="207"/>
      <c r="R23" s="207"/>
      <c r="S23" s="180"/>
      <c r="T23" s="146" t="str">
        <f>E23</f>
        <v>Geografija</v>
      </c>
      <c r="U23" s="144" t="b">
        <v>0</v>
      </c>
      <c r="V23" s="144" t="b">
        <v>0</v>
      </c>
      <c r="W23" s="206">
        <f>IF((U23 +V23)*NOT(U23*V23),1,0)</f>
        <v>0</v>
      </c>
      <c r="X23" s="206">
        <f>IF((W23=1)*((Y23=1)+(Y23=0)),1,0)</f>
        <v>0</v>
      </c>
      <c r="Y23" s="206">
        <f>IF((U23=V23)*(U23=TRUE)*(V23=TRUE),2,IF((U23=V23),0,1))</f>
        <v>0</v>
      </c>
      <c r="Z23" s="206" t="str">
        <f>IF(AA23=4,"B",IF(AA23=8,"A",""))</f>
        <v/>
      </c>
      <c r="AA23" s="206">
        <f>IF((U23=TRUE)*(V23=FALSE)*(X23=1),4,IF((U23=FALSE)*(V23=TRUE)*(X23=1),8,0))</f>
        <v>0</v>
      </c>
      <c r="AB23" s="206" t="str">
        <f>IF(AA23=0,"",IF(AA23=4,2,4))</f>
        <v/>
      </c>
      <c r="AC23" s="206" t="str">
        <f>IF(AA23=0,"",IF(AA23=4,2,4))</f>
        <v/>
      </c>
    </row>
    <row r="24" spans="2:29" ht="20.100000000000001" customHeight="1" x14ac:dyDescent="0.25">
      <c r="B24" s="272"/>
      <c r="C24" s="158">
        <v>5</v>
      </c>
      <c r="D24" s="160" t="s">
        <v>27</v>
      </c>
      <c r="E24" s="209" t="s">
        <v>27</v>
      </c>
      <c r="F24" s="210"/>
      <c r="G24" s="133"/>
      <c r="H24" s="133"/>
      <c r="I24" s="133"/>
      <c r="J24" s="106" t="str">
        <f t="shared" si="0"/>
        <v/>
      </c>
      <c r="K24" s="106" t="str">
        <f t="shared" si="2"/>
        <v/>
      </c>
      <c r="L24" s="106" t="str">
        <f t="shared" si="3"/>
        <v/>
      </c>
      <c r="M24" s="158"/>
      <c r="N24" s="160"/>
      <c r="O24" s="82"/>
      <c r="P24" s="222" t="str">
        <f>IF(AND(NOT(U24),NOT(V24)),"Privaloma pasirinkti matematikos A arba B kursą",IF(AND(U24,V24),"Galima rinktis tik A arba B kursą",""))</f>
        <v>Privaloma pasirinkti matematikos A arba B kursą</v>
      </c>
      <c r="Q24" s="222"/>
      <c r="R24" s="222"/>
      <c r="T24" s="150" t="str">
        <f>E24</f>
        <v>Matematika</v>
      </c>
      <c r="U24" s="206" t="b">
        <v>0</v>
      </c>
      <c r="V24" s="144" t="b">
        <v>0</v>
      </c>
      <c r="W24" s="206">
        <f>IF(OR(U24,V24),1,0)</f>
        <v>0</v>
      </c>
      <c r="X24" s="206">
        <f>W24</f>
        <v>0</v>
      </c>
      <c r="Y24" s="206"/>
      <c r="Z24" s="206" t="str">
        <f>IF(AA24=8,"B",IF(AA24=12,"A",""))</f>
        <v/>
      </c>
      <c r="AA24" s="206">
        <f>IF((U24=TRUE)*(V24=FALSE),8,IF((U24=FALSE)*(V24=TRUE),12,0))</f>
        <v>0</v>
      </c>
      <c r="AB24" s="206" t="str">
        <f>IF(AA24=0,"",IF(AA24=8,4,IF(AA24=12,6,6)))</f>
        <v/>
      </c>
      <c r="AC24" s="206" t="str">
        <f>IF(AA24=0,"",IF(AA24=8,4,IF(AA24=12,6,5)))</f>
        <v/>
      </c>
    </row>
    <row r="25" spans="2:29" ht="20.100000000000001" customHeight="1" x14ac:dyDescent="0.25">
      <c r="B25" s="272"/>
      <c r="C25" s="248">
        <v>6</v>
      </c>
      <c r="D25" s="275" t="s">
        <v>61</v>
      </c>
      <c r="E25" s="216" t="s">
        <v>28</v>
      </c>
      <c r="F25" s="216"/>
      <c r="G25" s="156"/>
      <c r="H25" s="156"/>
      <c r="I25" s="156"/>
      <c r="J25" s="23" t="str">
        <f t="shared" ref="J25:J41" si="4">Z25</f>
        <v/>
      </c>
      <c r="K25" s="15" t="str">
        <f t="shared" si="2"/>
        <v/>
      </c>
      <c r="L25" s="15" t="str">
        <f t="shared" si="3"/>
        <v/>
      </c>
      <c r="M25" s="16"/>
      <c r="N25" s="22"/>
      <c r="O25" s="82"/>
      <c r="P25" s="220" t="str">
        <f>IF(SUM(Y25:Y27)=0,"Privaloma pasirinkti bent vieną iš gamtos mokslų",IF(OR(Y25=2,Y26=2,Y27=2),"Galima rinktis tik A arba B kursą",""))</f>
        <v>Privaloma pasirinkti bent vieną iš gamtos mokslų</v>
      </c>
      <c r="Q25" s="220"/>
      <c r="R25" s="220"/>
      <c r="S25" s="180"/>
      <c r="T25" s="146" t="str">
        <f t="shared" ref="T25:T41" si="5">E25</f>
        <v>Biologija</v>
      </c>
      <c r="U25" s="144" t="b">
        <v>0</v>
      </c>
      <c r="V25" s="144" t="b">
        <v>0</v>
      </c>
      <c r="W25" s="206">
        <f t="shared" ref="W25:W27" si="6">IF((U25 +V25)*NOT(U25*V25),1,0)</f>
        <v>0</v>
      </c>
      <c r="X25" s="206">
        <f>IF(((W25=1)+(W26=1)+(W27=1))*((Y25=1)+(Y25=0))*((Y26=1)+(Y26=0))*((Y26=1)+(Y26=0)),1,0)</f>
        <v>0</v>
      </c>
      <c r="Y25" s="206">
        <f t="shared" ref="Y25:Y37" si="7">IF((U25=V25)*(U25=TRUE)*(V25=TRUE),2,IF((U25=V25),0,1))</f>
        <v>0</v>
      </c>
      <c r="Z25" s="206" t="str">
        <f>IF(AA25=4,"B",IF(AA25=8,"A",""))</f>
        <v/>
      </c>
      <c r="AA25" s="206">
        <f>IF((U25=TRUE)*(V25=FALSE),4,IF((U25=FALSE)*(V25=TRUE),8,0))</f>
        <v>0</v>
      </c>
      <c r="AB25" s="206" t="str">
        <f>IF(AA25=0,"",IF(AA25=4,2,4))</f>
        <v/>
      </c>
      <c r="AC25" s="206" t="str">
        <f>IF(AA25=0,"",IF(AA25=4,2,4))</f>
        <v/>
      </c>
    </row>
    <row r="26" spans="2:29" ht="20.100000000000001" customHeight="1" x14ac:dyDescent="0.25">
      <c r="B26" s="272"/>
      <c r="C26" s="248"/>
      <c r="D26" s="275"/>
      <c r="E26" s="219" t="s">
        <v>29</v>
      </c>
      <c r="F26" s="219"/>
      <c r="G26" s="154"/>
      <c r="H26" s="154"/>
      <c r="I26" s="154"/>
      <c r="J26" s="24" t="str">
        <f t="shared" si="4"/>
        <v/>
      </c>
      <c r="K26" s="25" t="str">
        <f t="shared" si="2"/>
        <v/>
      </c>
      <c r="L26" s="25" t="str">
        <f t="shared" si="3"/>
        <v/>
      </c>
      <c r="M26" s="26"/>
      <c r="N26" s="27"/>
      <c r="O26" s="82"/>
      <c r="P26" s="220"/>
      <c r="Q26" s="220"/>
      <c r="R26" s="220"/>
      <c r="S26" s="180"/>
      <c r="T26" s="146" t="str">
        <f t="shared" si="5"/>
        <v>Fizika</v>
      </c>
      <c r="U26" s="144" t="b">
        <v>0</v>
      </c>
      <c r="V26" s="144" t="b">
        <v>0</v>
      </c>
      <c r="W26" s="206">
        <f t="shared" si="6"/>
        <v>0</v>
      </c>
      <c r="X26" s="206">
        <f>IF(((W25=1)+(W26=1)+(W27=1))*((Y25=1)+(Y25=0))*((Y26=1)+(Y26=0))*((Y26=1)+(Y26=0)),1,0)</f>
        <v>0</v>
      </c>
      <c r="Y26" s="206">
        <f t="shared" si="7"/>
        <v>0</v>
      </c>
      <c r="Z26" s="206" t="str">
        <f>IF(AA26=4,"B",IF(AA26=9,"A",""))</f>
        <v/>
      </c>
      <c r="AA26" s="206">
        <f>IF((U26=TRUE)*(V26=FALSE),4,IF((U26=FALSE)*(V26=TRUE),9,0))</f>
        <v>0</v>
      </c>
      <c r="AB26" s="206" t="str">
        <f>IF(AA26=0,"",IF(AA26=4,2,4))</f>
        <v/>
      </c>
      <c r="AC26" s="206" t="str">
        <f>IF(AA26=0,"",IF(AA26=4,2,5))</f>
        <v/>
      </c>
    </row>
    <row r="27" spans="2:29" ht="20.100000000000001" customHeight="1" x14ac:dyDescent="0.25">
      <c r="B27" s="272"/>
      <c r="C27" s="248"/>
      <c r="D27" s="275"/>
      <c r="E27" s="208" t="s">
        <v>30</v>
      </c>
      <c r="F27" s="208"/>
      <c r="G27" s="152"/>
      <c r="H27" s="152"/>
      <c r="I27" s="152"/>
      <c r="J27" s="28" t="str">
        <f t="shared" si="4"/>
        <v/>
      </c>
      <c r="K27" s="18" t="str">
        <f t="shared" si="2"/>
        <v/>
      </c>
      <c r="L27" s="18" t="str">
        <f t="shared" si="3"/>
        <v/>
      </c>
      <c r="M27" s="19"/>
      <c r="N27" s="161"/>
      <c r="O27" s="82"/>
      <c r="P27" s="220"/>
      <c r="Q27" s="220"/>
      <c r="R27" s="220"/>
      <c r="S27" s="180"/>
      <c r="T27" s="146" t="str">
        <f t="shared" si="5"/>
        <v>Chemija</v>
      </c>
      <c r="U27" s="144" t="b">
        <v>0</v>
      </c>
      <c r="V27" s="144" t="b">
        <v>0</v>
      </c>
      <c r="W27" s="206">
        <f t="shared" si="6"/>
        <v>0</v>
      </c>
      <c r="X27" s="206">
        <f>IF(((W25=1)+(W26=1)+(W27=1))*((Y25=1)+(Y25=0))*((Y26=1)+(Y26=0))*((Y26=1)+(Y26=0)),1,0)</f>
        <v>0</v>
      </c>
      <c r="Y27" s="206">
        <f t="shared" si="7"/>
        <v>0</v>
      </c>
      <c r="Z27" s="206" t="str">
        <f>IF(AA27=4,"B",IF(AA27=8,"A",""))</f>
        <v/>
      </c>
      <c r="AA27" s="206">
        <f>IF((U27=TRUE)*(V27=FALSE),4,IF((U27=FALSE)*(V27=TRUE),8,0))</f>
        <v>0</v>
      </c>
      <c r="AB27" s="206" t="str">
        <f>IF(AA27=0,"",IF(AA27=4,2,4))</f>
        <v/>
      </c>
      <c r="AC27" s="206" t="str">
        <f>IF(AA27=0,"",IF(AA27=4,2,4))</f>
        <v/>
      </c>
    </row>
    <row r="28" spans="2:29" ht="20.100000000000001" customHeight="1" x14ac:dyDescent="0.25">
      <c r="B28" s="272"/>
      <c r="C28" s="248">
        <v>7</v>
      </c>
      <c r="D28" s="257" t="s">
        <v>141</v>
      </c>
      <c r="E28" s="216" t="s">
        <v>31</v>
      </c>
      <c r="F28" s="216"/>
      <c r="G28" s="156"/>
      <c r="H28" s="156"/>
      <c r="I28" s="156"/>
      <c r="J28" s="204" t="str">
        <f t="shared" si="4"/>
        <v/>
      </c>
      <c r="K28" s="204" t="str">
        <f t="shared" si="2"/>
        <v/>
      </c>
      <c r="L28" s="204" t="str">
        <f t="shared" si="3"/>
        <v/>
      </c>
      <c r="M28" s="16"/>
      <c r="N28" s="29" t="s">
        <v>21</v>
      </c>
      <c r="O28" s="31"/>
      <c r="P28" s="221" t="str">
        <f>IF(SUM(Y28:Y37)=0,"Privaloma pasirinkti tik vieną iš menų ir technologijų mokslų",IF(OR(Y28=2,Y29=2,Y30=2),"Galima rinktis tik A arba B kursą",IF(SUM(W28:W37)&gt;1,"Galima pasirinkti tik vieną menų ir technologijų mokslų dalyką","")))</f>
        <v>Privaloma pasirinkti tik vieną iš menų ir technologijų mokslų</v>
      </c>
      <c r="Q28" s="221"/>
      <c r="R28" s="221"/>
      <c r="S28" s="180"/>
      <c r="T28" s="146" t="str">
        <f t="shared" si="5"/>
        <v>Dailė</v>
      </c>
      <c r="U28" s="144" t="b">
        <v>0</v>
      </c>
      <c r="V28" s="144" t="b">
        <v>0</v>
      </c>
      <c r="W28" s="206">
        <f t="shared" ref="W28:W32" si="8">IF(U28,1,0)</f>
        <v>0</v>
      </c>
      <c r="X28" s="206">
        <f>IF((SUM($W$28:$W$37)=1),1,0)</f>
        <v>0</v>
      </c>
      <c r="Y28" s="206">
        <f t="shared" si="7"/>
        <v>0</v>
      </c>
      <c r="Z28" s="206" t="str">
        <f>IF(AA28=4,"B",IF(AA28=6,"A",""))</f>
        <v/>
      </c>
      <c r="AA28" s="206">
        <f>IF((U28=TRUE)*(V28=FALSE),4,IF((U28=FALSE)*(V28=TRUE),6,0))</f>
        <v>0</v>
      </c>
      <c r="AB28" s="206" t="str">
        <f>IF(AA28=0,"",IF(AA28=4,2,3))</f>
        <v/>
      </c>
      <c r="AC28" s="206" t="str">
        <f>IF(AA28=0,"",IF(AA28=4,2,3))</f>
        <v/>
      </c>
    </row>
    <row r="29" spans="2:29" ht="20.100000000000001" customHeight="1" x14ac:dyDescent="0.25">
      <c r="B29" s="272"/>
      <c r="C29" s="248"/>
      <c r="D29" s="274"/>
      <c r="E29" s="219" t="s">
        <v>32</v>
      </c>
      <c r="F29" s="219"/>
      <c r="G29" s="154"/>
      <c r="H29" s="154"/>
      <c r="I29" s="154"/>
      <c r="J29" s="25" t="str">
        <f t="shared" si="4"/>
        <v/>
      </c>
      <c r="K29" s="25" t="str">
        <f t="shared" si="2"/>
        <v/>
      </c>
      <c r="L29" s="25" t="str">
        <f t="shared" si="3"/>
        <v/>
      </c>
      <c r="M29" s="26"/>
      <c r="N29" s="29" t="s">
        <v>21</v>
      </c>
      <c r="O29" s="31"/>
      <c r="P29" s="221"/>
      <c r="Q29" s="221"/>
      <c r="R29" s="221"/>
      <c r="S29" s="180"/>
      <c r="T29" s="146" t="str">
        <f t="shared" si="5"/>
        <v>Muzika</v>
      </c>
      <c r="U29" s="144" t="b">
        <v>0</v>
      </c>
      <c r="V29" s="144" t="b">
        <v>0</v>
      </c>
      <c r="W29" s="206">
        <f t="shared" si="8"/>
        <v>0</v>
      </c>
      <c r="X29" s="206">
        <f t="shared" ref="X29:X37" si="9">IF((SUM($W$28:$W$37)=1),1,0)</f>
        <v>0</v>
      </c>
      <c r="Y29" s="206">
        <f t="shared" si="7"/>
        <v>0</v>
      </c>
      <c r="Z29" s="206" t="str">
        <f t="shared" ref="Z29:Z32" si="10">IF(AA29=4,"B","")</f>
        <v/>
      </c>
      <c r="AA29" s="206">
        <f t="shared" ref="AA29:AA32" si="11">IF((U29=TRUE)*(X29=1),4,0)</f>
        <v>0</v>
      </c>
      <c r="AB29" s="206" t="str">
        <f t="shared" ref="AB29:AB32" si="12">IF(AA29=4,2,"")</f>
        <v/>
      </c>
      <c r="AC29" s="206" t="str">
        <f t="shared" ref="AC29:AC32" si="13">IF(AA29=4,2,"")</f>
        <v/>
      </c>
    </row>
    <row r="30" spans="2:29" ht="20.100000000000001" customHeight="1" x14ac:dyDescent="0.25">
      <c r="B30" s="272"/>
      <c r="C30" s="248"/>
      <c r="D30" s="274"/>
      <c r="E30" s="219" t="s">
        <v>33</v>
      </c>
      <c r="F30" s="219"/>
      <c r="G30" s="154"/>
      <c r="H30" s="154"/>
      <c r="I30" s="154"/>
      <c r="J30" s="25" t="str">
        <f t="shared" si="4"/>
        <v/>
      </c>
      <c r="K30" s="25" t="str">
        <f t="shared" si="2"/>
        <v/>
      </c>
      <c r="L30" s="25" t="str">
        <f t="shared" si="3"/>
        <v/>
      </c>
      <c r="M30" s="26"/>
      <c r="N30" s="29" t="s">
        <v>21</v>
      </c>
      <c r="O30" s="31"/>
      <c r="P30" s="221"/>
      <c r="Q30" s="221"/>
      <c r="R30" s="221"/>
      <c r="S30" s="180"/>
      <c r="T30" s="146" t="str">
        <f t="shared" si="5"/>
        <v>Teatras</v>
      </c>
      <c r="U30" s="144" t="b">
        <v>0</v>
      </c>
      <c r="V30" s="144" t="b">
        <v>0</v>
      </c>
      <c r="W30" s="206">
        <f t="shared" si="8"/>
        <v>0</v>
      </c>
      <c r="X30" s="206">
        <f t="shared" si="9"/>
        <v>0</v>
      </c>
      <c r="Y30" s="206">
        <f t="shared" si="7"/>
        <v>0</v>
      </c>
      <c r="Z30" s="206" t="str">
        <f t="shared" si="10"/>
        <v/>
      </c>
      <c r="AA30" s="206">
        <f t="shared" si="11"/>
        <v>0</v>
      </c>
      <c r="AB30" s="206" t="str">
        <f t="shared" si="12"/>
        <v/>
      </c>
      <c r="AC30" s="206" t="str">
        <f t="shared" si="13"/>
        <v/>
      </c>
    </row>
    <row r="31" spans="2:29" ht="24.9" customHeight="1" x14ac:dyDescent="0.25">
      <c r="B31" s="272"/>
      <c r="C31" s="248"/>
      <c r="D31" s="274"/>
      <c r="E31" s="219" t="s">
        <v>34</v>
      </c>
      <c r="F31" s="219"/>
      <c r="G31" s="154"/>
      <c r="H31" s="154"/>
      <c r="I31" s="154"/>
      <c r="J31" s="25" t="str">
        <f t="shared" si="4"/>
        <v/>
      </c>
      <c r="K31" s="25" t="str">
        <f t="shared" si="2"/>
        <v/>
      </c>
      <c r="L31" s="25" t="str">
        <f t="shared" si="3"/>
        <v/>
      </c>
      <c r="M31" s="26"/>
      <c r="N31" s="29" t="s">
        <v>21</v>
      </c>
      <c r="O31" s="31"/>
      <c r="P31" s="221"/>
      <c r="Q31" s="221"/>
      <c r="R31" s="221"/>
      <c r="S31" s="180"/>
      <c r="T31" s="146" t="str">
        <f t="shared" si="5"/>
        <v>Fotografija</v>
      </c>
      <c r="U31" s="144" t="b">
        <v>0</v>
      </c>
      <c r="W31" s="206">
        <f t="shared" si="8"/>
        <v>0</v>
      </c>
      <c r="X31" s="206">
        <f t="shared" si="9"/>
        <v>0</v>
      </c>
      <c r="Y31" s="206">
        <f t="shared" si="7"/>
        <v>0</v>
      </c>
      <c r="Z31" s="206" t="str">
        <f t="shared" si="10"/>
        <v/>
      </c>
      <c r="AA31" s="206">
        <f t="shared" si="11"/>
        <v>0</v>
      </c>
      <c r="AB31" s="206" t="str">
        <f t="shared" si="12"/>
        <v/>
      </c>
      <c r="AC31" s="206" t="str">
        <f t="shared" si="13"/>
        <v/>
      </c>
    </row>
    <row r="32" spans="2:29" ht="15.75" hidden="1" customHeight="1" x14ac:dyDescent="0.25">
      <c r="B32" s="272"/>
      <c r="C32" s="248"/>
      <c r="D32" s="274"/>
      <c r="E32" s="223" t="s">
        <v>34</v>
      </c>
      <c r="F32" s="223"/>
      <c r="G32" s="69"/>
      <c r="H32" s="69"/>
      <c r="I32" s="69"/>
      <c r="J32" s="128" t="str">
        <f t="shared" si="4"/>
        <v/>
      </c>
      <c r="K32" s="65" t="str">
        <f t="shared" si="2"/>
        <v/>
      </c>
      <c r="L32" s="129" t="str">
        <f t="shared" si="3"/>
        <v/>
      </c>
      <c r="M32" s="63"/>
      <c r="N32" s="20" t="s">
        <v>21</v>
      </c>
      <c r="O32" s="31"/>
      <c r="P32" s="221"/>
      <c r="Q32" s="221"/>
      <c r="R32" s="221"/>
      <c r="S32" s="180"/>
      <c r="T32" s="146" t="str">
        <f t="shared" si="5"/>
        <v>Fotografija</v>
      </c>
      <c r="U32" s="144" t="b">
        <v>0</v>
      </c>
      <c r="W32" s="206">
        <f t="shared" si="8"/>
        <v>0</v>
      </c>
      <c r="X32" s="206">
        <f t="shared" si="9"/>
        <v>0</v>
      </c>
      <c r="Y32" s="206">
        <f t="shared" si="7"/>
        <v>0</v>
      </c>
      <c r="Z32" s="206" t="str">
        <f t="shared" si="10"/>
        <v/>
      </c>
      <c r="AA32" s="206">
        <f t="shared" si="11"/>
        <v>0</v>
      </c>
      <c r="AB32" s="206" t="str">
        <f t="shared" si="12"/>
        <v/>
      </c>
      <c r="AC32" s="206" t="str">
        <f t="shared" si="13"/>
        <v/>
      </c>
    </row>
    <row r="33" spans="2:29" ht="20.100000000000001" customHeight="1" x14ac:dyDescent="0.25">
      <c r="B33" s="272"/>
      <c r="C33" s="248"/>
      <c r="D33" s="274"/>
      <c r="E33" s="219" t="s">
        <v>149</v>
      </c>
      <c r="F33" s="219"/>
      <c r="G33" s="62"/>
      <c r="H33" s="117"/>
      <c r="I33" s="117"/>
      <c r="J33" s="130" t="str">
        <f t="shared" ref="J33" si="14">Z33</f>
        <v/>
      </c>
      <c r="K33" s="25" t="str">
        <f t="shared" ref="K33:L37" si="15">AB33</f>
        <v/>
      </c>
      <c r="L33" s="131" t="str">
        <f t="shared" si="15"/>
        <v/>
      </c>
      <c r="M33" s="64"/>
      <c r="N33" s="29" t="s">
        <v>21</v>
      </c>
      <c r="O33" s="31"/>
      <c r="P33" s="221"/>
      <c r="Q33" s="221"/>
      <c r="R33" s="221"/>
      <c r="S33" s="180"/>
      <c r="T33" s="146" t="str">
        <f t="shared" ref="T33" si="16">E33</f>
        <v>Šokis</v>
      </c>
      <c r="U33" s="144" t="b">
        <v>0</v>
      </c>
      <c r="W33" s="206">
        <f t="shared" ref="W33:W37" si="17">IF(U33,1,0)</f>
        <v>0</v>
      </c>
      <c r="X33" s="206">
        <f t="shared" si="9"/>
        <v>0</v>
      </c>
      <c r="Y33" s="206">
        <f t="shared" ref="Y33" si="18">IF((U33=V33)*(U33=TRUE)*(V33=TRUE),2,IF((U33=V33),0,1))</f>
        <v>0</v>
      </c>
      <c r="Z33" s="206" t="str">
        <f t="shared" ref="Z33" si="19">IF(AA33=4,"B","")</f>
        <v/>
      </c>
      <c r="AA33" s="206">
        <f t="shared" ref="AA33" si="20">IF((U33=TRUE)*(X33=1),4,0)</f>
        <v>0</v>
      </c>
      <c r="AB33" s="206" t="str">
        <f t="shared" ref="AB33" si="21">IF(AA33=4,2,"")</f>
        <v/>
      </c>
      <c r="AC33" s="206" t="str">
        <f t="shared" ref="AC33" si="22">IF(AA33=4,2,"")</f>
        <v/>
      </c>
    </row>
    <row r="34" spans="2:29" ht="20.100000000000001" customHeight="1" x14ac:dyDescent="0.25">
      <c r="B34" s="272"/>
      <c r="C34" s="248"/>
      <c r="D34" s="274"/>
      <c r="E34" s="219" t="s">
        <v>87</v>
      </c>
      <c r="F34" s="219"/>
      <c r="G34" s="62"/>
      <c r="H34" s="117"/>
      <c r="I34" s="117"/>
      <c r="J34" s="130" t="str">
        <f t="shared" si="4"/>
        <v/>
      </c>
      <c r="K34" s="25" t="str">
        <f t="shared" si="15"/>
        <v/>
      </c>
      <c r="L34" s="131" t="str">
        <f t="shared" si="15"/>
        <v/>
      </c>
      <c r="M34" s="64"/>
      <c r="N34" s="29" t="s">
        <v>21</v>
      </c>
      <c r="O34" s="31"/>
      <c r="P34" s="221"/>
      <c r="Q34" s="221"/>
      <c r="R34" s="221"/>
      <c r="S34" s="180"/>
      <c r="T34" s="146" t="str">
        <f t="shared" si="5"/>
        <v>Turizmo ir mitybos technologijos</v>
      </c>
      <c r="U34" s="144" t="b">
        <v>0</v>
      </c>
      <c r="W34" s="206">
        <f t="shared" si="17"/>
        <v>0</v>
      </c>
      <c r="X34" s="206">
        <f t="shared" si="9"/>
        <v>0</v>
      </c>
      <c r="Y34" s="206">
        <f t="shared" si="7"/>
        <v>0</v>
      </c>
      <c r="Z34" s="206" t="str">
        <f t="shared" ref="Z34:Z41" si="23">IF(AA34=4,"B","")</f>
        <v/>
      </c>
      <c r="AA34" s="206">
        <f t="shared" ref="AA34:AA41" si="24">IF((U34=TRUE)*(X34=1),4,0)</f>
        <v>0</v>
      </c>
      <c r="AB34" s="206" t="str">
        <f t="shared" ref="AB34:AB41" si="25">IF(AA34=4,2,"")</f>
        <v/>
      </c>
      <c r="AC34" s="206" t="str">
        <f t="shared" ref="AC34:AC41" si="26">IF(AA34=4,2,"")</f>
        <v/>
      </c>
    </row>
    <row r="35" spans="2:29" ht="20.100000000000001" customHeight="1" x14ac:dyDescent="0.25">
      <c r="B35" s="272"/>
      <c r="C35" s="248"/>
      <c r="D35" s="274"/>
      <c r="E35" s="219" t="s">
        <v>148</v>
      </c>
      <c r="F35" s="219"/>
      <c r="G35" s="62"/>
      <c r="H35" s="117"/>
      <c r="I35" s="117"/>
      <c r="J35" s="130" t="str">
        <f t="shared" ref="J35:J36" si="27">Z35</f>
        <v/>
      </c>
      <c r="K35" s="25" t="str">
        <f t="shared" si="15"/>
        <v/>
      </c>
      <c r="L35" s="131" t="str">
        <f t="shared" si="15"/>
        <v/>
      </c>
      <c r="M35" s="64"/>
      <c r="N35" s="29" t="s">
        <v>21</v>
      </c>
      <c r="O35" s="31"/>
      <c r="P35" s="221"/>
      <c r="Q35" s="221"/>
      <c r="R35" s="221"/>
      <c r="S35" s="180"/>
      <c r="T35" s="146" t="str">
        <f t="shared" ref="T35:T36" si="28">E35</f>
        <v>Verslas, vadyba ir mažmeninė prekyba</v>
      </c>
      <c r="U35" s="144" t="b">
        <v>0</v>
      </c>
      <c r="W35" s="206">
        <f t="shared" si="17"/>
        <v>0</v>
      </c>
      <c r="X35" s="206">
        <f t="shared" si="9"/>
        <v>0</v>
      </c>
      <c r="Y35" s="206">
        <f t="shared" ref="Y35:Y36" si="29">IF((U35=V35)*(U35=TRUE)*(V35=TRUE),2,IF((U35=V35),0,1))</f>
        <v>0</v>
      </c>
      <c r="Z35" s="206" t="str">
        <f t="shared" ref="Z35:Z36" si="30">IF(AA35=4,"B","")</f>
        <v/>
      </c>
      <c r="AA35" s="206">
        <f t="shared" ref="AA35:AA36" si="31">IF((U35=TRUE)*(X35=1),4,0)</f>
        <v>0</v>
      </c>
      <c r="AB35" s="206" t="str">
        <f t="shared" ref="AB35:AB36" si="32">IF(AA35=4,2,"")</f>
        <v/>
      </c>
      <c r="AC35" s="206" t="str">
        <f t="shared" ref="AC35:AC36" si="33">IF(AA35=4,2,"")</f>
        <v/>
      </c>
    </row>
    <row r="36" spans="2:29" ht="20.100000000000001" customHeight="1" x14ac:dyDescent="0.25">
      <c r="B36" s="272"/>
      <c r="C36" s="248"/>
      <c r="D36" s="274"/>
      <c r="E36" s="219" t="s">
        <v>147</v>
      </c>
      <c r="F36" s="219"/>
      <c r="G36" s="62"/>
      <c r="H36" s="117"/>
      <c r="I36" s="117"/>
      <c r="J36" s="130" t="str">
        <f t="shared" si="27"/>
        <v/>
      </c>
      <c r="K36" s="25" t="str">
        <f t="shared" si="15"/>
        <v/>
      </c>
      <c r="L36" s="131" t="str">
        <f t="shared" si="15"/>
        <v/>
      </c>
      <c r="M36" s="64"/>
      <c r="N36" s="29" t="s">
        <v>21</v>
      </c>
      <c r="O36" s="31"/>
      <c r="P36" s="221"/>
      <c r="Q36" s="221"/>
      <c r="R36" s="221"/>
      <c r="S36" s="180"/>
      <c r="T36" s="146" t="str">
        <f t="shared" si="28"/>
        <v>Statyba ir medžio apdirbimas</v>
      </c>
      <c r="U36" s="144" t="b">
        <v>0</v>
      </c>
      <c r="W36" s="206">
        <f t="shared" si="17"/>
        <v>0</v>
      </c>
      <c r="X36" s="206">
        <f t="shared" si="9"/>
        <v>0</v>
      </c>
      <c r="Y36" s="206">
        <f t="shared" si="29"/>
        <v>0</v>
      </c>
      <c r="Z36" s="206" t="str">
        <f t="shared" si="30"/>
        <v/>
      </c>
      <c r="AA36" s="206">
        <f t="shared" si="31"/>
        <v>0</v>
      </c>
      <c r="AB36" s="206" t="str">
        <f t="shared" si="32"/>
        <v/>
      </c>
      <c r="AC36" s="206" t="str">
        <f t="shared" si="33"/>
        <v/>
      </c>
    </row>
    <row r="37" spans="2:29" ht="20.100000000000001" customHeight="1" x14ac:dyDescent="0.25">
      <c r="B37" s="272"/>
      <c r="C37" s="248"/>
      <c r="D37" s="274"/>
      <c r="E37" s="208" t="s">
        <v>88</v>
      </c>
      <c r="F37" s="208"/>
      <c r="G37" s="102"/>
      <c r="H37" s="102"/>
      <c r="I37" s="102"/>
      <c r="J37" s="66" t="str">
        <f t="shared" si="4"/>
        <v/>
      </c>
      <c r="K37" s="67" t="str">
        <f t="shared" si="15"/>
        <v/>
      </c>
      <c r="L37" s="68" t="str">
        <f t="shared" si="15"/>
        <v/>
      </c>
      <c r="M37" s="103"/>
      <c r="N37" s="104" t="s">
        <v>21</v>
      </c>
      <c r="O37" s="31"/>
      <c r="P37" s="221"/>
      <c r="Q37" s="221"/>
      <c r="R37" s="221"/>
      <c r="S37" s="180"/>
      <c r="T37" s="146" t="str">
        <f t="shared" si="5"/>
        <v>Tekstilės ir aprangos technologijos</v>
      </c>
      <c r="U37" s="144" t="b">
        <v>0</v>
      </c>
      <c r="W37" s="206">
        <f t="shared" si="17"/>
        <v>0</v>
      </c>
      <c r="X37" s="206">
        <f t="shared" si="9"/>
        <v>0</v>
      </c>
      <c r="Y37" s="206">
        <f t="shared" si="7"/>
        <v>0</v>
      </c>
      <c r="Z37" s="206" t="str">
        <f t="shared" si="23"/>
        <v/>
      </c>
      <c r="AA37" s="206">
        <f t="shared" si="24"/>
        <v>0</v>
      </c>
      <c r="AB37" s="206" t="str">
        <f t="shared" si="25"/>
        <v/>
      </c>
      <c r="AC37" s="206" t="str">
        <f t="shared" si="26"/>
        <v/>
      </c>
    </row>
    <row r="38" spans="2:29" ht="20.100000000000001" customHeight="1" x14ac:dyDescent="0.25">
      <c r="B38" s="273"/>
      <c r="C38" s="196">
        <v>8</v>
      </c>
      <c r="D38" s="195" t="s">
        <v>142</v>
      </c>
      <c r="E38" s="218" t="s">
        <v>142</v>
      </c>
      <c r="F38" s="218"/>
      <c r="G38" s="186"/>
      <c r="H38" s="186"/>
      <c r="I38" s="186"/>
      <c r="J38" s="193" t="str">
        <f t="shared" si="4"/>
        <v/>
      </c>
      <c r="K38" s="21" t="str">
        <f t="shared" ref="K38:L41" si="34">AB38</f>
        <v/>
      </c>
      <c r="L38" s="21" t="str">
        <f t="shared" si="34"/>
        <v/>
      </c>
      <c r="M38" s="140"/>
      <c r="N38" s="194" t="s">
        <v>21</v>
      </c>
      <c r="O38" s="31"/>
      <c r="P38" s="221" t="str">
        <f>IF(SUM(Y38:Y41)=0,"Privaloma pasirinkti fizinio ugdymo A arba B kursą",IF(SUM(Y38:Y41)&gt;1,"Galima pasirinkti tik vieną fizinio ugdymo kursą",""))</f>
        <v>Privaloma pasirinkti fizinio ugdymo A arba B kursą</v>
      </c>
      <c r="Q38" s="221"/>
      <c r="R38" s="221"/>
      <c r="S38" s="180"/>
      <c r="T38" s="146" t="str">
        <f t="shared" si="5"/>
        <v>Fizinis ugdymas</v>
      </c>
      <c r="U38" s="144" t="b">
        <v>0</v>
      </c>
      <c r="V38" s="144" t="b">
        <v>0</v>
      </c>
      <c r="W38" s="206">
        <f t="shared" ref="W38" si="35">IF((U38 +V38)*NOT(U38*V38),1,0)</f>
        <v>0</v>
      </c>
      <c r="X38" s="206">
        <f>IF(((W38=1)+(W39=1)+(W40=1))*((Y38=1)+(Y38=0))*((Y39=1)+(Y39=0))*((Y39=1)+(Y39=0)),1,0)</f>
        <v>0</v>
      </c>
      <c r="Y38" s="206">
        <f t="shared" ref="Y38" si="36">IF((U38=V38)*(U38=TRUE)*(V38=TRUE),2,IF((U38=V38),0,1))</f>
        <v>0</v>
      </c>
      <c r="Z38" s="206" t="str">
        <f>IF(AA38=4,"B",IF(AA38=8,"A",""))</f>
        <v/>
      </c>
      <c r="AA38" s="206">
        <f>IF((U38=TRUE)*(V38=FALSE),4,IF((U38=FALSE)*(V38=TRUE),8,0))</f>
        <v>0</v>
      </c>
      <c r="AB38" s="206" t="str">
        <f>IF(AA38=0,"",IF(AA38=4,2,4))</f>
        <v/>
      </c>
      <c r="AC38" s="206" t="str">
        <f>IF(AA38=0,"",IF(AA38=4,2,4))</f>
        <v/>
      </c>
    </row>
    <row r="39" spans="2:29" ht="20.100000000000001" hidden="1" customHeight="1" x14ac:dyDescent="0.25">
      <c r="B39" s="197"/>
      <c r="C39" s="196"/>
      <c r="D39" s="195"/>
      <c r="E39" s="215" t="s">
        <v>37</v>
      </c>
      <c r="F39" s="215"/>
      <c r="G39" s="186"/>
      <c r="H39" s="186"/>
      <c r="I39" s="186"/>
      <c r="J39" s="193" t="str">
        <f t="shared" si="4"/>
        <v/>
      </c>
      <c r="K39" s="21" t="str">
        <f t="shared" si="34"/>
        <v/>
      </c>
      <c r="L39" s="21" t="str">
        <f t="shared" si="34"/>
        <v/>
      </c>
      <c r="M39" s="140"/>
      <c r="N39" s="194" t="s">
        <v>21</v>
      </c>
      <c r="O39" s="31"/>
      <c r="P39" s="221"/>
      <c r="Q39" s="221"/>
      <c r="R39" s="221"/>
      <c r="S39" s="180"/>
      <c r="T39" s="146" t="str">
        <f t="shared" si="5"/>
        <v>Tinklinis</v>
      </c>
      <c r="U39" s="144" t="b">
        <v>0</v>
      </c>
      <c r="V39" s="144" t="b">
        <v>0</v>
      </c>
      <c r="W39" s="201">
        <f>IF((U39 +V39)*NOT(U39*V39),1,0)</f>
        <v>0</v>
      </c>
      <c r="X39" s="201">
        <f>IF((W38+W39+W40+W41=1)*(Y38+Y39+Y40+Y41=1),1,0)</f>
        <v>0</v>
      </c>
      <c r="Y39" s="201">
        <f>IF((U39=V39)*(U39=TRUE)*(V39=TRUE),2,IF((U39=V39),0,1))</f>
        <v>0</v>
      </c>
      <c r="Z39" s="206" t="str">
        <f t="shared" si="23"/>
        <v/>
      </c>
      <c r="AA39" s="206">
        <f t="shared" si="24"/>
        <v>0</v>
      </c>
      <c r="AB39" s="206" t="str">
        <f t="shared" si="25"/>
        <v/>
      </c>
      <c r="AC39" s="206" t="str">
        <f t="shared" si="26"/>
        <v/>
      </c>
    </row>
    <row r="40" spans="2:29" ht="20.100000000000001" hidden="1" customHeight="1" x14ac:dyDescent="0.25">
      <c r="B40" s="197"/>
      <c r="C40" s="196"/>
      <c r="D40" s="195"/>
      <c r="E40" s="215" t="s">
        <v>36</v>
      </c>
      <c r="F40" s="215"/>
      <c r="G40" s="186"/>
      <c r="H40" s="186"/>
      <c r="I40" s="186"/>
      <c r="J40" s="193" t="str">
        <f t="shared" si="4"/>
        <v/>
      </c>
      <c r="K40" s="21" t="str">
        <f t="shared" si="34"/>
        <v/>
      </c>
      <c r="L40" s="21" t="str">
        <f t="shared" si="34"/>
        <v/>
      </c>
      <c r="M40" s="140"/>
      <c r="N40" s="194" t="s">
        <v>21</v>
      </c>
      <c r="O40" s="31"/>
      <c r="P40" s="221"/>
      <c r="Q40" s="221"/>
      <c r="R40" s="221"/>
      <c r="S40" s="180"/>
      <c r="T40" s="146" t="str">
        <f t="shared" si="5"/>
        <v>Krepšinis</v>
      </c>
      <c r="U40" s="144" t="b">
        <v>0</v>
      </c>
      <c r="V40" s="144" t="b">
        <v>0</v>
      </c>
      <c r="W40" s="201">
        <f>IF((U40 +V40)*NOT(U40*V40),1,0)</f>
        <v>0</v>
      </c>
      <c r="X40" s="201">
        <f>IF((W38+W39+W40+W41=1)*(Y38+Y39+Y40+Y41=1),1,0)</f>
        <v>0</v>
      </c>
      <c r="Y40" s="201">
        <f>IF((U40=V40)*(U40=TRUE)*(V40=TRUE),2,IF((U40=V40),0,1))</f>
        <v>0</v>
      </c>
      <c r="Z40" s="206" t="str">
        <f t="shared" si="23"/>
        <v/>
      </c>
      <c r="AA40" s="206">
        <f t="shared" si="24"/>
        <v>0</v>
      </c>
      <c r="AB40" s="206" t="str">
        <f t="shared" si="25"/>
        <v/>
      </c>
      <c r="AC40" s="206" t="str">
        <f t="shared" si="26"/>
        <v/>
      </c>
    </row>
    <row r="41" spans="2:29" ht="22.5" hidden="1" customHeight="1" x14ac:dyDescent="0.25">
      <c r="B41" s="197"/>
      <c r="C41" s="196"/>
      <c r="D41" s="195"/>
      <c r="E41" s="224"/>
      <c r="F41" s="225"/>
      <c r="G41" s="186"/>
      <c r="H41" s="186"/>
      <c r="I41" s="186"/>
      <c r="J41" s="193" t="str">
        <f t="shared" si="4"/>
        <v/>
      </c>
      <c r="K41" s="21" t="str">
        <f t="shared" si="34"/>
        <v/>
      </c>
      <c r="L41" s="21" t="str">
        <f t="shared" si="34"/>
        <v/>
      </c>
      <c r="M41" s="140"/>
      <c r="N41" s="194" t="s">
        <v>21</v>
      </c>
      <c r="O41" s="31"/>
      <c r="P41" s="221"/>
      <c r="Q41" s="221"/>
      <c r="R41" s="221"/>
      <c r="S41" s="180"/>
      <c r="T41" s="146">
        <f t="shared" si="5"/>
        <v>0</v>
      </c>
      <c r="U41" s="144" t="b">
        <v>0</v>
      </c>
      <c r="V41" s="144" t="b">
        <v>0</v>
      </c>
      <c r="W41" s="201">
        <f>IF((U41 +V41)*NOT(U41*V41),1,0)</f>
        <v>0</v>
      </c>
      <c r="X41" s="201">
        <f>IF((W38+W39+W40+W41=1)*(Y38+Y39+Y40+Y41=1),1,0)</f>
        <v>0</v>
      </c>
      <c r="Y41" s="201">
        <f>IF((U41=V41)*(U41=TRUE)*(V41=TRUE),2,IF((U41=V41),0,1))</f>
        <v>0</v>
      </c>
      <c r="Z41" s="206" t="str">
        <f t="shared" si="23"/>
        <v/>
      </c>
      <c r="AA41" s="206">
        <f t="shared" si="24"/>
        <v>0</v>
      </c>
      <c r="AB41" s="206" t="str">
        <f t="shared" si="25"/>
        <v/>
      </c>
      <c r="AC41" s="206" t="str">
        <f t="shared" si="26"/>
        <v/>
      </c>
    </row>
    <row r="42" spans="2:29" ht="20.100000000000001" customHeight="1" x14ac:dyDescent="0.25">
      <c r="B42" s="30"/>
      <c r="C42" s="31"/>
      <c r="D42" s="32"/>
      <c r="E42" s="33"/>
      <c r="F42" s="33"/>
      <c r="G42" s="33"/>
      <c r="H42" s="33"/>
      <c r="I42" s="33"/>
      <c r="J42" s="32"/>
      <c r="K42" s="32"/>
      <c r="L42" s="32"/>
      <c r="M42" s="34"/>
      <c r="N42" s="31"/>
      <c r="O42" s="31"/>
      <c r="T42" s="146"/>
      <c r="W42" s="206"/>
      <c r="X42" s="206" t="s">
        <v>160</v>
      </c>
      <c r="Y42" s="206"/>
      <c r="Z42" s="206"/>
      <c r="AA42" s="206"/>
      <c r="AB42" s="206"/>
      <c r="AC42" s="206"/>
    </row>
    <row r="43" spans="2:29" ht="18" customHeight="1" x14ac:dyDescent="0.25">
      <c r="C43" s="237" t="s">
        <v>129</v>
      </c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81"/>
      <c r="T43" s="146"/>
      <c r="W43" s="206"/>
      <c r="X43" s="206"/>
      <c r="Y43" s="206"/>
      <c r="Z43" s="206"/>
    </row>
    <row r="44" spans="2:29" ht="17.100000000000001" hidden="1" customHeight="1" x14ac:dyDescent="0.25">
      <c r="C44" s="248">
        <v>9</v>
      </c>
      <c r="D44" s="257" t="s">
        <v>143</v>
      </c>
      <c r="E44" s="217" t="s">
        <v>23</v>
      </c>
      <c r="F44" s="217"/>
      <c r="G44" s="156"/>
      <c r="H44" s="156"/>
      <c r="I44" s="156"/>
      <c r="J44" s="23" t="str">
        <f t="shared" ref="J44:J49" si="37">Z44</f>
        <v/>
      </c>
      <c r="K44" s="15" t="str">
        <f t="shared" ref="K44:L47" si="38">AB44</f>
        <v/>
      </c>
      <c r="L44" s="15" t="str">
        <f t="shared" si="38"/>
        <v/>
      </c>
      <c r="M44" s="251"/>
      <c r="N44" s="252"/>
      <c r="O44" s="82"/>
      <c r="P44" s="263" t="str">
        <f>IF(SUM(Y44:Y46)&gt;1,"Galima pasirinkti tik vieną pasirenkamąją užsienio kalbą. Norėdami mokytis tris užsienio kalbas, pasirinkite užsienio kalbą pradedantiesiems. Žr. Nr. 11",IF(OR(AND(V44,V20),AND(V46,V21)),"Pasirenkamąja kalba negalima rinktis kalbos, kurią pasirinkote kaip privalomąją",""))</f>
        <v/>
      </c>
      <c r="Q44" s="263"/>
      <c r="R44" s="263"/>
      <c r="S44" s="181"/>
      <c r="T44" s="146" t="str">
        <f t="shared" ref="T44:T49" si="39">E44</f>
        <v>Anglų kalba</v>
      </c>
      <c r="V44" s="144" t="b">
        <v>0</v>
      </c>
      <c r="W44" s="201">
        <f>IF((U44 +V44)*NOT(U44*V44)*NOT(V20*V44),1,0)</f>
        <v>0</v>
      </c>
      <c r="X44" s="201">
        <f>IF((W44+W45+W46=1)*(Y44+Y45+Y46=1)+(U44=FALSE)*(U45=FALSE)*(U46=FALSE)*(V44=FALSE)*(V45=FALSE)*(V46=FALSE),1,0)</f>
        <v>1</v>
      </c>
      <c r="Y44" s="206">
        <f>IF((U44=V44)*(U44=TRUE)*(V44=TRUE),2,IF((U44=V44),0,1))</f>
        <v>0</v>
      </c>
      <c r="Z44" s="201" t="str">
        <f>IF(AA44=6,"B1","")</f>
        <v/>
      </c>
      <c r="AA44" s="201">
        <f>IF((U44=TRUE)*(V44=FALSE)*(X44=1),4,IF((U44=FALSE)*(V44=TRUE)*(X44=1),6,0))</f>
        <v>0</v>
      </c>
      <c r="AB44" s="206" t="str">
        <f>IF(AA44=0,"",IF(AA44=4,2,3))</f>
        <v/>
      </c>
      <c r="AC44" s="206" t="str">
        <f>IF(AA44=0,"",IF(AA44=4,2,3))</f>
        <v/>
      </c>
    </row>
    <row r="45" spans="2:29" ht="17.100000000000001" hidden="1" customHeight="1" x14ac:dyDescent="0.25">
      <c r="C45" s="248"/>
      <c r="D45" s="257"/>
      <c r="E45" s="219" t="s">
        <v>38</v>
      </c>
      <c r="F45" s="219"/>
      <c r="G45" s="154"/>
      <c r="H45" s="154"/>
      <c r="I45" s="154"/>
      <c r="J45" s="24" t="str">
        <f t="shared" si="37"/>
        <v/>
      </c>
      <c r="K45" s="25" t="str">
        <f t="shared" si="38"/>
        <v/>
      </c>
      <c r="L45" s="25" t="str">
        <f t="shared" si="38"/>
        <v/>
      </c>
      <c r="M45" s="211"/>
      <c r="N45" s="212"/>
      <c r="O45" s="82"/>
      <c r="P45" s="263"/>
      <c r="Q45" s="263"/>
      <c r="R45" s="263"/>
      <c r="S45" s="181"/>
      <c r="T45" s="146" t="str">
        <f t="shared" si="39"/>
        <v>Rusų kalba</v>
      </c>
      <c r="V45" s="144" t="b">
        <v>0</v>
      </c>
      <c r="W45" s="201">
        <f>IF((U45 +V45)*NOT(U45*V45),1,0)</f>
        <v>0</v>
      </c>
      <c r="X45" s="201">
        <f>IF((W44+W45+W46=1)*(Y44+Y45+Y46=1)+(U44=FALSE)*(U45=FALSE)*(U46=FALSE)*(V44=FALSE)*(V45=FALSE)*(V46=FALSE),1,0)</f>
        <v>1</v>
      </c>
      <c r="Y45" s="206">
        <f>IF((U45=V45)*(U45=TRUE)*(V45=TRUE),2,IF((U45=V45),0,1))</f>
        <v>0</v>
      </c>
      <c r="Z45" s="201" t="str">
        <f>IF(AA45=6,"B1","")</f>
        <v/>
      </c>
      <c r="AA45" s="201">
        <f>IF((U45=TRUE)*(V45=FALSE)*(X45=1),4,IF((U45=FALSE)*(V45=TRUE)*(X45=1),6,0))</f>
        <v>0</v>
      </c>
      <c r="AB45" s="206" t="str">
        <f>IF(AA45=0,"",IF(AA45=4,2,3))</f>
        <v/>
      </c>
      <c r="AC45" s="206" t="str">
        <f>IF(AA45=0,"",IF(AA45=4,2,3))</f>
        <v/>
      </c>
    </row>
    <row r="46" spans="2:29" ht="17.100000000000001" hidden="1" customHeight="1" x14ac:dyDescent="0.25">
      <c r="C46" s="248"/>
      <c r="D46" s="257"/>
      <c r="E46" s="255" t="s">
        <v>24</v>
      </c>
      <c r="F46" s="255"/>
      <c r="G46" s="152"/>
      <c r="H46" s="152"/>
      <c r="I46" s="152"/>
      <c r="J46" s="28" t="str">
        <f t="shared" si="37"/>
        <v/>
      </c>
      <c r="K46" s="18" t="str">
        <f t="shared" si="38"/>
        <v/>
      </c>
      <c r="L46" s="18" t="str">
        <f t="shared" si="38"/>
        <v/>
      </c>
      <c r="M46" s="213"/>
      <c r="N46" s="214"/>
      <c r="O46" s="82"/>
      <c r="P46" s="263"/>
      <c r="Q46" s="263"/>
      <c r="R46" s="263"/>
      <c r="S46" s="181"/>
      <c r="T46" s="146" t="str">
        <f t="shared" si="39"/>
        <v>Vokiečių kalba</v>
      </c>
      <c r="V46" s="144" t="b">
        <v>0</v>
      </c>
      <c r="W46" s="201">
        <f>IF((U46+V46)*NOT(U46*V46)*NOT(V46*V21),1,0)</f>
        <v>0</v>
      </c>
      <c r="X46" s="201">
        <f>IF((W44+W45+W46=1)*(Y44+Y45+Y46=1)+(U44=FALSE)*(U45=FALSE)*(U46=FALSE)*(V44=FALSE)*(V45=FALSE)*(V46=FALSE),1,0)</f>
        <v>1</v>
      </c>
      <c r="Y46" s="206">
        <f>IF((U46=V46)*(U46=TRUE)*(V46=TRUE),2,IF((U46=V46),0,1))</f>
        <v>0</v>
      </c>
      <c r="Z46" s="201" t="str">
        <f>IF(AA46=6,"B1","")</f>
        <v/>
      </c>
      <c r="AA46" s="201">
        <f>IF((U46=TRUE)*(V46=FALSE)*(X46=1),4,IF((U46=FALSE)*(V46=TRUE)*(X46=1),6,0))</f>
        <v>0</v>
      </c>
      <c r="AB46" s="206" t="str">
        <f>IF(AA46=0,"",IF(AA46=4,2,3))</f>
        <v/>
      </c>
      <c r="AC46" s="206" t="str">
        <f>IF(AA46=0,"",IF(AA46=4,2,3))</f>
        <v/>
      </c>
    </row>
    <row r="47" spans="2:29" ht="17.100000000000001" customHeight="1" x14ac:dyDescent="0.25">
      <c r="C47" s="248">
        <v>9</v>
      </c>
      <c r="D47" s="257" t="s">
        <v>39</v>
      </c>
      <c r="E47" s="217" t="s">
        <v>39</v>
      </c>
      <c r="F47" s="217"/>
      <c r="G47" s="162"/>
      <c r="H47" s="162"/>
      <c r="I47" s="162"/>
      <c r="J47" s="106" t="str">
        <f t="shared" si="37"/>
        <v/>
      </c>
      <c r="K47" s="133" t="str">
        <f t="shared" si="38"/>
        <v/>
      </c>
      <c r="L47" s="133" t="str">
        <f t="shared" si="38"/>
        <v/>
      </c>
      <c r="M47" s="59"/>
      <c r="N47" s="134" t="s">
        <v>21</v>
      </c>
      <c r="O47" s="82"/>
      <c r="P47" s="256" t="str">
        <f>IF(Y47=2,"Galima rinktis tik A arba B kursą",IF(Y47=3,"Galima rinktis tik vieną A kursą",""))</f>
        <v/>
      </c>
      <c r="Q47" s="256"/>
      <c r="R47" s="256"/>
      <c r="T47" s="146" t="str">
        <f t="shared" si="39"/>
        <v>Informacinės technologijos</v>
      </c>
      <c r="U47" s="144" t="b">
        <v>0</v>
      </c>
      <c r="W47" s="205">
        <f>IF(U47,1,0)</f>
        <v>0</v>
      </c>
      <c r="X47" s="254">
        <f>IF(SUM(W47:W49)=1,1,0)</f>
        <v>0</v>
      </c>
      <c r="Y47" s="254">
        <f>IF(W47=1,(IF(SUM(W48:W49)&gt;0,2,1)),(IF(SUM(W48:W49)=1,1,IF(SUM(W48:W49)=0,0,3))))</f>
        <v>0</v>
      </c>
      <c r="Z47" s="206" t="str">
        <f>IF(AA47=2,"B",IF(AA47=4,"A",""))</f>
        <v/>
      </c>
      <c r="AA47" s="206">
        <f>IF($X$47,IF($U$47,2,0),0)</f>
        <v>0</v>
      </c>
      <c r="AB47" s="206" t="str">
        <f>IF(AA47=0,"",IF(AA47=2,1,2))</f>
        <v/>
      </c>
      <c r="AC47" s="206" t="str">
        <f>IF(AA47=0,"",IF(AA47=4,2,1))</f>
        <v/>
      </c>
    </row>
    <row r="48" spans="2:29" ht="17.100000000000001" customHeight="1" x14ac:dyDescent="0.25">
      <c r="C48" s="248"/>
      <c r="D48" s="257"/>
      <c r="E48" s="219" t="s">
        <v>98</v>
      </c>
      <c r="F48" s="219"/>
      <c r="G48" s="154"/>
      <c r="H48" s="154"/>
      <c r="I48" s="154"/>
      <c r="J48" s="24" t="str">
        <f t="shared" si="37"/>
        <v/>
      </c>
      <c r="K48" s="25" t="str">
        <f t="shared" ref="K48:L49" si="40">AB48</f>
        <v/>
      </c>
      <c r="L48" s="25" t="str">
        <f t="shared" si="40"/>
        <v/>
      </c>
      <c r="M48" s="29" t="s">
        <v>21</v>
      </c>
      <c r="N48" s="27"/>
      <c r="O48" s="82"/>
      <c r="P48" s="256"/>
      <c r="Q48" s="256"/>
      <c r="R48" s="256"/>
      <c r="T48" s="146" t="str">
        <f t="shared" si="39"/>
        <v>IT (programavimas)</v>
      </c>
      <c r="V48" s="144" t="b">
        <v>0</v>
      </c>
      <c r="W48" s="205">
        <f>IF(V48,1,0)</f>
        <v>0</v>
      </c>
      <c r="X48" s="254"/>
      <c r="Y48" s="254"/>
      <c r="Z48" s="206" t="str">
        <f>IF(AA48=3,"B",IF(AA48=6,"A",""))</f>
        <v/>
      </c>
      <c r="AA48" s="206">
        <f>IF($X$47,IF(AND($U$47=FALSE,V48),6,0),0)</f>
        <v>0</v>
      </c>
      <c r="AB48" s="206" t="str">
        <f>IF(AA48=0,"",IF(AA48=2,1,3))</f>
        <v/>
      </c>
      <c r="AC48" s="206" t="str">
        <f>IF(AA48=0,"",IF(AA48=4,1,3))</f>
        <v/>
      </c>
    </row>
    <row r="49" spans="2:29" ht="17.100000000000001" customHeight="1" x14ac:dyDescent="0.25">
      <c r="C49" s="248"/>
      <c r="D49" s="257"/>
      <c r="E49" s="267" t="s">
        <v>99</v>
      </c>
      <c r="F49" s="267"/>
      <c r="G49" s="155"/>
      <c r="H49" s="155"/>
      <c r="I49" s="155"/>
      <c r="J49" s="135" t="str">
        <f t="shared" si="37"/>
        <v/>
      </c>
      <c r="K49" s="67" t="str">
        <f t="shared" si="40"/>
        <v/>
      </c>
      <c r="L49" s="67" t="str">
        <f t="shared" si="40"/>
        <v/>
      </c>
      <c r="M49" s="104" t="s">
        <v>21</v>
      </c>
      <c r="N49" s="136"/>
      <c r="O49" s="82"/>
      <c r="P49" s="256"/>
      <c r="Q49" s="256"/>
      <c r="R49" s="256"/>
      <c r="T49" s="146" t="str">
        <f t="shared" si="39"/>
        <v>IT (elektroninė leidyba)</v>
      </c>
      <c r="V49" s="144" t="b">
        <v>0</v>
      </c>
      <c r="W49" s="205">
        <f>IF(V49,1,0)</f>
        <v>0</v>
      </c>
      <c r="X49" s="254"/>
      <c r="Y49" s="254"/>
      <c r="Z49" s="206" t="str">
        <f>IF(AA49=2,"B",IF(AA49=4,"A",""))</f>
        <v/>
      </c>
      <c r="AA49" s="206">
        <f>IF($X$47,IF(AND($U$47=FALSE,V49),4,0),0)</f>
        <v>0</v>
      </c>
      <c r="AB49" s="206" t="str">
        <f>IF(AA49=0,"",IF(AA49=2,1,2))</f>
        <v/>
      </c>
      <c r="AC49" s="206" t="str">
        <f>IF(AA49=0,"",IF(AA49=4,2,1))</f>
        <v/>
      </c>
    </row>
    <row r="50" spans="2:29" ht="21.75" customHeight="1" x14ac:dyDescent="0.25">
      <c r="C50" s="38"/>
      <c r="D50" s="40"/>
      <c r="E50" s="90"/>
      <c r="F50" s="90"/>
      <c r="G50" s="90"/>
      <c r="H50" s="90"/>
      <c r="I50" s="90"/>
      <c r="J50" s="39"/>
      <c r="K50" s="92"/>
      <c r="L50" s="92"/>
      <c r="M50" s="92"/>
      <c r="N50" s="40"/>
      <c r="O50" s="82"/>
      <c r="P50" s="170"/>
      <c r="Q50" s="170"/>
      <c r="R50" s="170"/>
      <c r="T50" s="146"/>
      <c r="W50" s="205"/>
      <c r="X50" s="205"/>
      <c r="Y50" s="205"/>
      <c r="Z50" s="206"/>
      <c r="AA50" s="206"/>
      <c r="AB50" s="206"/>
      <c r="AC50" s="206"/>
    </row>
    <row r="51" spans="2:29" ht="18.899999999999999" customHeight="1" x14ac:dyDescent="0.25">
      <c r="B51" s="30"/>
      <c r="C51" s="237" t="s">
        <v>129</v>
      </c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32"/>
      <c r="O51" s="32"/>
      <c r="T51" s="146" t="s">
        <v>40</v>
      </c>
      <c r="W51" s="206"/>
      <c r="X51" s="206"/>
      <c r="Y51" s="206"/>
      <c r="Z51" s="206"/>
      <c r="AA51" s="206"/>
      <c r="AB51" s="206"/>
      <c r="AC51" s="206"/>
    </row>
    <row r="52" spans="2:29" ht="17.100000000000001" customHeight="1" x14ac:dyDescent="0.25">
      <c r="C52" s="151">
        <v>10</v>
      </c>
      <c r="D52" s="218" t="s">
        <v>150</v>
      </c>
      <c r="E52" s="218" t="s">
        <v>41</v>
      </c>
      <c r="F52" s="218"/>
      <c r="G52" s="41"/>
      <c r="H52" s="41"/>
      <c r="I52" s="41"/>
      <c r="J52" s="44" t="str">
        <f t="shared" ref="J52:J60" si="41">Z52</f>
        <v/>
      </c>
      <c r="K52" s="21" t="str">
        <f t="shared" ref="K52:K54" si="42">AB52</f>
        <v/>
      </c>
      <c r="L52" s="21" t="str">
        <f t="shared" ref="L52:L54" si="43">AC52</f>
        <v/>
      </c>
      <c r="M52" s="139"/>
      <c r="N52" s="40"/>
      <c r="O52" s="82"/>
      <c r="P52" s="169"/>
      <c r="Q52" s="169"/>
      <c r="R52" s="169"/>
      <c r="S52" s="181"/>
      <c r="T52" s="146" t="str">
        <f>E52</f>
        <v>Prancūzų kalba</v>
      </c>
      <c r="U52" s="144" t="b">
        <v>0</v>
      </c>
      <c r="V52" s="144" t="b">
        <v>0</v>
      </c>
      <c r="W52" s="201">
        <f t="shared" ref="W52:W62" si="44">IF(U52,1,0)</f>
        <v>0</v>
      </c>
      <c r="X52" s="206"/>
      <c r="Y52" s="206"/>
      <c r="Z52" s="206" t="str">
        <f>IF(AA52=6,"B1","")</f>
        <v/>
      </c>
      <c r="AA52" s="206">
        <f>IF(U52=TRUE,6,0)</f>
        <v>0</v>
      </c>
      <c r="AB52" s="206" t="str">
        <f>IF(AA52=6,3,"")</f>
        <v/>
      </c>
      <c r="AC52" s="206" t="str">
        <f>IF(AA52=6,3,"")</f>
        <v/>
      </c>
    </row>
    <row r="53" spans="2:29" ht="17.100000000000001" customHeight="1" x14ac:dyDescent="0.25">
      <c r="C53" s="151">
        <v>11</v>
      </c>
      <c r="D53" s="218" t="s">
        <v>151</v>
      </c>
      <c r="E53" s="218"/>
      <c r="F53" s="218"/>
      <c r="G53" s="43"/>
      <c r="H53" s="43"/>
      <c r="I53" s="43"/>
      <c r="J53" s="44" t="str">
        <f t="shared" si="41"/>
        <v/>
      </c>
      <c r="K53" s="21" t="str">
        <f t="shared" si="42"/>
        <v/>
      </c>
      <c r="L53" s="21" t="str">
        <f t="shared" si="43"/>
        <v/>
      </c>
      <c r="M53" s="140"/>
      <c r="N53" s="198"/>
      <c r="O53" s="6"/>
      <c r="P53" s="6" t="str">
        <f>IF(SUM(W53:W54)&gt;1,"Galima pasirinkti tik vieną  vokiečių kalbos lygį","")</f>
        <v/>
      </c>
      <c r="S53" s="181"/>
      <c r="T53" s="146" t="str">
        <f>D53</f>
        <v>Vokiečių kalba (B1) (2-oji kalba)</v>
      </c>
      <c r="U53" s="144" t="b">
        <v>0</v>
      </c>
      <c r="W53" s="201">
        <f t="shared" si="44"/>
        <v>0</v>
      </c>
      <c r="X53" s="206">
        <f>IF((SUM($W$53:$W$54)=1),1,0)</f>
        <v>0</v>
      </c>
      <c r="Y53" s="206"/>
      <c r="Z53" s="206" t="str">
        <f>IF(AA53=6,"B1","")</f>
        <v/>
      </c>
      <c r="AA53" s="206">
        <f>IF(U53=TRUE,6,0)</f>
        <v>0</v>
      </c>
      <c r="AB53" s="206" t="str">
        <f>IF(AA53=6,3,"")</f>
        <v/>
      </c>
      <c r="AC53" s="206" t="str">
        <f>IF(AA53=6,3,"")</f>
        <v/>
      </c>
    </row>
    <row r="54" spans="2:29" ht="17.100000000000001" customHeight="1" x14ac:dyDescent="0.25">
      <c r="C54" s="151">
        <v>12</v>
      </c>
      <c r="D54" s="218" t="s">
        <v>152</v>
      </c>
      <c r="E54" s="218"/>
      <c r="F54" s="218"/>
      <c r="G54" s="42"/>
      <c r="H54" s="42"/>
      <c r="I54" s="42"/>
      <c r="J54" s="185" t="str">
        <f t="shared" si="41"/>
        <v/>
      </c>
      <c r="K54" s="21" t="str">
        <f t="shared" si="42"/>
        <v/>
      </c>
      <c r="L54" s="21" t="str">
        <f t="shared" si="43"/>
        <v/>
      </c>
      <c r="M54" s="101"/>
      <c r="N54" s="198"/>
      <c r="O54" s="6"/>
      <c r="S54" s="181"/>
      <c r="T54" s="146" t="str">
        <f>D54</f>
        <v>Vokiečių kalba (pradžiamokslis)</v>
      </c>
      <c r="U54" s="144" t="b">
        <v>0</v>
      </c>
      <c r="V54" s="144" t="b">
        <v>0</v>
      </c>
      <c r="W54" s="201">
        <f t="shared" si="44"/>
        <v>0</v>
      </c>
      <c r="X54" s="206">
        <f>IF((SUM($W$53:$W$54)=1),1,0)</f>
        <v>0</v>
      </c>
      <c r="Y54" s="206"/>
      <c r="Z54" s="206" t="str">
        <f t="shared" ref="Z54" si="45">IF(AA54=2,"P","")</f>
        <v/>
      </c>
      <c r="AA54" s="206">
        <f t="shared" ref="AA54:AA55" si="46">IF(U54=TRUE,2,0)</f>
        <v>0</v>
      </c>
      <c r="AB54" s="206" t="str">
        <f t="shared" ref="AB54:AB55" si="47">IF(AA54=2,1,"")</f>
        <v/>
      </c>
      <c r="AC54" s="206" t="str">
        <f t="shared" ref="AC54:AC55" si="48">IF(AA54=2,1,"")</f>
        <v/>
      </c>
    </row>
    <row r="55" spans="2:29" ht="17.100000000000001" customHeight="1" x14ac:dyDescent="0.25">
      <c r="C55" s="187">
        <v>13</v>
      </c>
      <c r="D55" s="218" t="s">
        <v>153</v>
      </c>
      <c r="E55" s="218"/>
      <c r="F55" s="218"/>
      <c r="G55" s="43"/>
      <c r="H55" s="43"/>
      <c r="I55" s="43"/>
      <c r="J55" s="185" t="str">
        <f t="shared" si="41"/>
        <v/>
      </c>
      <c r="K55" s="21" t="str">
        <f t="shared" ref="K55:L59" si="49">AB55</f>
        <v/>
      </c>
      <c r="L55" s="21" t="str">
        <f t="shared" si="49"/>
        <v/>
      </c>
      <c r="M55" s="45"/>
      <c r="N55" s="6"/>
      <c r="O55" s="6"/>
      <c r="T55" s="146" t="str">
        <f t="shared" ref="T55:T62" si="50">D55</f>
        <v>Sveikatos ir lytiškumo ugdymo, rengimo šeimai programa</v>
      </c>
      <c r="U55" s="144" t="b">
        <v>0</v>
      </c>
      <c r="W55" s="201">
        <f t="shared" si="44"/>
        <v>0</v>
      </c>
      <c r="X55" s="206"/>
      <c r="Y55" s="206"/>
      <c r="Z55" s="206" t="str">
        <f t="shared" ref="Z55:Z64" si="51">IF(AA55=2,"P","")</f>
        <v/>
      </c>
      <c r="AA55" s="206">
        <f t="shared" si="46"/>
        <v>0</v>
      </c>
      <c r="AB55" s="206" t="str">
        <f t="shared" si="47"/>
        <v/>
      </c>
      <c r="AC55" s="206" t="str">
        <f t="shared" si="48"/>
        <v/>
      </c>
    </row>
    <row r="56" spans="2:29" ht="17.100000000000001" customHeight="1" x14ac:dyDescent="0.25">
      <c r="C56" s="187">
        <v>14</v>
      </c>
      <c r="D56" s="218" t="s">
        <v>154</v>
      </c>
      <c r="E56" s="218"/>
      <c r="F56" s="218"/>
      <c r="G56" s="43"/>
      <c r="H56" s="43"/>
      <c r="I56" s="43"/>
      <c r="J56" s="185" t="str">
        <f t="shared" si="41"/>
        <v/>
      </c>
      <c r="K56" s="21" t="str">
        <f t="shared" si="49"/>
        <v/>
      </c>
      <c r="L56" s="21" t="str">
        <f t="shared" si="49"/>
        <v/>
      </c>
      <c r="M56" s="45"/>
      <c r="N56" s="6"/>
      <c r="O56" s="6"/>
      <c r="T56" s="146" t="str">
        <f t="shared" si="50"/>
        <v>Brandos darbas (.......................)</v>
      </c>
      <c r="U56" s="144" t="b">
        <v>0</v>
      </c>
      <c r="W56" s="201">
        <f t="shared" si="44"/>
        <v>0</v>
      </c>
      <c r="X56" s="206"/>
      <c r="Y56" s="206"/>
      <c r="Z56" s="206" t="str">
        <f>IF(AA56=1,"P","")</f>
        <v/>
      </c>
      <c r="AA56" s="206">
        <f>IF(U56=TRUE,1,0)</f>
        <v>0</v>
      </c>
      <c r="AB56" s="206" t="str">
        <f>IF(AA56=1,0.5,"")</f>
        <v/>
      </c>
      <c r="AC56" s="206" t="str">
        <f>IF(AA56=1,0.5,"")</f>
        <v/>
      </c>
    </row>
    <row r="57" spans="2:29" ht="17.100000000000001" customHeight="1" x14ac:dyDescent="0.25">
      <c r="C57" s="187">
        <v>15</v>
      </c>
      <c r="D57" s="218" t="s">
        <v>155</v>
      </c>
      <c r="E57" s="218"/>
      <c r="F57" s="218"/>
      <c r="G57" s="43"/>
      <c r="H57" s="43"/>
      <c r="I57" s="43"/>
      <c r="J57" s="185" t="str">
        <f t="shared" si="41"/>
        <v/>
      </c>
      <c r="K57" s="21" t="str">
        <f>AB57</f>
        <v/>
      </c>
      <c r="L57" s="21" t="str">
        <f>AC57</f>
        <v/>
      </c>
      <c r="M57" s="45"/>
      <c r="N57" s="6"/>
      <c r="O57" s="6"/>
      <c r="T57" s="146" t="str">
        <f t="shared" si="50"/>
        <v>Socialinė-pilietinė veikla, savanorystė</v>
      </c>
      <c r="U57" s="144" t="b">
        <v>0</v>
      </c>
      <c r="W57" s="201">
        <f t="shared" si="44"/>
        <v>0</v>
      </c>
      <c r="X57" s="206"/>
      <c r="Y57" s="206"/>
      <c r="Z57" s="206" t="str">
        <f>IF(AA57=0,"P","")</f>
        <v/>
      </c>
      <c r="AA57" s="206" t="str">
        <f>IF(U57=TRUE,0,"")</f>
        <v/>
      </c>
      <c r="AB57" s="206" t="str">
        <f>IF(AA57=0,0,"")</f>
        <v/>
      </c>
      <c r="AC57" s="206" t="str">
        <f>IF(AA57=0,0,"")</f>
        <v/>
      </c>
    </row>
    <row r="58" spans="2:29" ht="17.100000000000001" customHeight="1" x14ac:dyDescent="0.25">
      <c r="C58" s="187">
        <v>16</v>
      </c>
      <c r="D58" s="218" t="s">
        <v>97</v>
      </c>
      <c r="E58" s="218"/>
      <c r="F58" s="218"/>
      <c r="G58" s="43"/>
      <c r="H58" s="43"/>
      <c r="I58" s="43"/>
      <c r="J58" s="185" t="str">
        <f t="shared" si="41"/>
        <v/>
      </c>
      <c r="K58" s="21" t="str">
        <f t="shared" si="49"/>
        <v/>
      </c>
      <c r="L58" s="21" t="str">
        <f t="shared" si="49"/>
        <v/>
      </c>
      <c r="M58" s="45"/>
      <c r="N58" s="6"/>
      <c r="O58" s="6"/>
      <c r="T58" s="146" t="str">
        <f t="shared" si="50"/>
        <v>Ekonomika ir verslumas</v>
      </c>
      <c r="U58" s="144" t="b">
        <v>0</v>
      </c>
      <c r="W58" s="201">
        <f t="shared" si="44"/>
        <v>0</v>
      </c>
      <c r="X58" s="206"/>
      <c r="Y58" s="206"/>
      <c r="Z58" s="206" t="str">
        <f t="shared" si="51"/>
        <v/>
      </c>
      <c r="AA58" s="206">
        <f t="shared" ref="AA58:AA62" si="52">IF(U58=TRUE,2,0)</f>
        <v>0</v>
      </c>
      <c r="AB58" s="206" t="str">
        <f t="shared" ref="AB58:AB60" si="53">IF(AA58=2,1,"")</f>
        <v/>
      </c>
      <c r="AC58" s="206" t="str">
        <f t="shared" ref="AC58:AC60" si="54">IF(AA58=2,1,"")</f>
        <v/>
      </c>
    </row>
    <row r="59" spans="2:29" ht="17.100000000000001" hidden="1" customHeight="1" x14ac:dyDescent="0.25">
      <c r="C59" s="187">
        <v>17</v>
      </c>
      <c r="D59" s="218" t="s">
        <v>86</v>
      </c>
      <c r="E59" s="218"/>
      <c r="F59" s="218"/>
      <c r="G59" s="43"/>
      <c r="H59" s="43"/>
      <c r="I59" s="43"/>
      <c r="J59" s="185" t="str">
        <f t="shared" si="41"/>
        <v/>
      </c>
      <c r="K59" s="21" t="str">
        <f t="shared" si="49"/>
        <v/>
      </c>
      <c r="L59" s="21" t="str">
        <f t="shared" si="49"/>
        <v/>
      </c>
      <c r="M59" s="45"/>
      <c r="N59" s="6"/>
      <c r="O59" s="6"/>
      <c r="T59" s="146" t="str">
        <f t="shared" si="50"/>
        <v>Kompiuterinė grafika</v>
      </c>
      <c r="U59" s="144" t="b">
        <v>0</v>
      </c>
      <c r="W59" s="201">
        <f t="shared" si="44"/>
        <v>0</v>
      </c>
      <c r="X59" s="206"/>
      <c r="Y59" s="206"/>
      <c r="Z59" s="206" t="str">
        <f t="shared" si="51"/>
        <v/>
      </c>
      <c r="AA59" s="206">
        <f t="shared" si="52"/>
        <v>0</v>
      </c>
      <c r="AB59" s="206" t="str">
        <f t="shared" si="53"/>
        <v/>
      </c>
      <c r="AC59" s="206" t="str">
        <f t="shared" si="54"/>
        <v/>
      </c>
    </row>
    <row r="60" spans="2:29" ht="17.100000000000001" hidden="1" customHeight="1" x14ac:dyDescent="0.25">
      <c r="C60" s="187">
        <v>18</v>
      </c>
      <c r="D60" s="218" t="s">
        <v>118</v>
      </c>
      <c r="E60" s="218"/>
      <c r="F60" s="218"/>
      <c r="G60" s="43"/>
      <c r="H60" s="43"/>
      <c r="I60" s="43"/>
      <c r="J60" s="185" t="str">
        <f t="shared" si="41"/>
        <v/>
      </c>
      <c r="K60" s="21" t="str">
        <f t="shared" ref="K60:L62" si="55">AB60</f>
        <v/>
      </c>
      <c r="L60" s="21" t="str">
        <f t="shared" si="55"/>
        <v/>
      </c>
      <c r="M60" s="45"/>
      <c r="N60" s="6"/>
      <c r="O60" s="6"/>
      <c r="T60" s="146" t="str">
        <f t="shared" si="50"/>
        <v>Karjeros planavimas</v>
      </c>
      <c r="U60" s="144" t="b">
        <v>0</v>
      </c>
      <c r="W60" s="201">
        <f t="shared" si="44"/>
        <v>0</v>
      </c>
      <c r="X60" s="206"/>
      <c r="Y60" s="206"/>
      <c r="Z60" s="206" t="str">
        <f t="shared" si="51"/>
        <v/>
      </c>
      <c r="AA60" s="206">
        <f t="shared" si="52"/>
        <v>0</v>
      </c>
      <c r="AB60" s="206" t="str">
        <f t="shared" si="53"/>
        <v/>
      </c>
      <c r="AC60" s="206" t="str">
        <f t="shared" si="54"/>
        <v/>
      </c>
    </row>
    <row r="61" spans="2:29" ht="17.100000000000001" hidden="1" customHeight="1" x14ac:dyDescent="0.25">
      <c r="C61" s="187">
        <v>19</v>
      </c>
      <c r="D61" s="224" t="s">
        <v>119</v>
      </c>
      <c r="E61" s="265"/>
      <c r="F61" s="225"/>
      <c r="G61" s="43"/>
      <c r="H61" s="43"/>
      <c r="I61" s="43"/>
      <c r="J61" s="185" t="str">
        <f>Z61</f>
        <v/>
      </c>
      <c r="K61" s="21" t="str">
        <f t="shared" si="55"/>
        <v/>
      </c>
      <c r="L61" s="21" t="str">
        <f t="shared" si="55"/>
        <v/>
      </c>
      <c r="M61" s="45"/>
      <c r="N61" s="6"/>
      <c r="O61" s="6"/>
      <c r="T61" s="146" t="str">
        <f t="shared" si="50"/>
        <v>Krašto gynyba</v>
      </c>
      <c r="U61" s="144" t="b">
        <v>0</v>
      </c>
      <c r="W61" s="201">
        <f t="shared" si="44"/>
        <v>0</v>
      </c>
      <c r="X61" s="206"/>
      <c r="Y61" s="206"/>
      <c r="Z61" s="206" t="str">
        <f t="shared" si="51"/>
        <v/>
      </c>
      <c r="AA61" s="206">
        <f t="shared" si="52"/>
        <v>0</v>
      </c>
      <c r="AB61" s="206" t="str">
        <f>IF(AA61=2,1,"")</f>
        <v/>
      </c>
      <c r="AC61" s="206" t="str">
        <f>IF(AA61=2,1,"")</f>
        <v/>
      </c>
    </row>
    <row r="62" spans="2:29" ht="17.100000000000001" hidden="1" customHeight="1" x14ac:dyDescent="0.25">
      <c r="C62" s="187">
        <v>20</v>
      </c>
      <c r="D62" s="224" t="s">
        <v>131</v>
      </c>
      <c r="E62" s="265"/>
      <c r="F62" s="225"/>
      <c r="G62" s="43"/>
      <c r="H62" s="43"/>
      <c r="I62" s="43"/>
      <c r="J62" s="185" t="str">
        <f>Z62</f>
        <v/>
      </c>
      <c r="K62" s="21" t="str">
        <f t="shared" si="55"/>
        <v/>
      </c>
      <c r="L62" s="21" t="str">
        <f t="shared" si="55"/>
        <v/>
      </c>
      <c r="M62" s="45"/>
      <c r="N62" s="6"/>
      <c r="O62" s="6"/>
      <c r="T62" s="146" t="str">
        <f t="shared" si="50"/>
        <v>Retorikos pagrindai</v>
      </c>
      <c r="U62" s="144" t="b">
        <v>0</v>
      </c>
      <c r="W62" s="201">
        <f t="shared" si="44"/>
        <v>0</v>
      </c>
      <c r="X62" s="206"/>
      <c r="Y62" s="206"/>
      <c r="Z62" s="206" t="str">
        <f t="shared" si="51"/>
        <v/>
      </c>
      <c r="AA62" s="206">
        <f t="shared" si="52"/>
        <v>0</v>
      </c>
      <c r="AB62" s="206" t="str">
        <f>IF(AA62=2,1,"")</f>
        <v/>
      </c>
      <c r="AC62" s="206" t="str">
        <f>IF(AA62=2,1,"")</f>
        <v/>
      </c>
    </row>
    <row r="63" spans="2:29" ht="17.100000000000001" hidden="1" customHeight="1" x14ac:dyDescent="0.25">
      <c r="C63" s="187">
        <v>21</v>
      </c>
      <c r="D63" s="224" t="s">
        <v>130</v>
      </c>
      <c r="E63" s="265"/>
      <c r="F63" s="225"/>
      <c r="G63" s="43"/>
      <c r="H63" s="43"/>
      <c r="I63" s="43"/>
      <c r="J63" s="185" t="str">
        <f>Z63</f>
        <v/>
      </c>
      <c r="K63" s="21" t="str">
        <f t="shared" ref="K63" si="56">AB63</f>
        <v/>
      </c>
      <c r="L63" s="21" t="str">
        <f t="shared" ref="L63" si="57">AC63</f>
        <v/>
      </c>
      <c r="M63" s="45"/>
      <c r="T63" s="146" t="str">
        <f t="shared" ref="T63" si="58">D63</f>
        <v>Kūrybinis / tiriamasis darbas</v>
      </c>
      <c r="U63" s="144" t="b">
        <v>0</v>
      </c>
      <c r="W63" s="201">
        <f t="shared" ref="W63:W64" si="59">IF(U63,1,0)</f>
        <v>0</v>
      </c>
      <c r="X63" s="206"/>
      <c r="Y63" s="206"/>
      <c r="Z63" s="206" t="str">
        <f t="shared" si="51"/>
        <v/>
      </c>
      <c r="AA63" s="206">
        <f t="shared" ref="AA63:AA75" si="60">IF(U63=TRUE,2,0)</f>
        <v>0</v>
      </c>
      <c r="AB63" s="206" t="str">
        <f>IF(AA63=2,1,"")</f>
        <v/>
      </c>
      <c r="AC63" s="206" t="str">
        <f>IF(AA63=2,0,"")</f>
        <v/>
      </c>
    </row>
    <row r="64" spans="2:29" ht="17.100000000000001" customHeight="1" x14ac:dyDescent="0.25">
      <c r="C64"/>
      <c r="D64"/>
      <c r="E64"/>
      <c r="F64"/>
      <c r="G64"/>
      <c r="H64"/>
      <c r="I64"/>
      <c r="J64"/>
      <c r="K64"/>
      <c r="L64"/>
      <c r="M64"/>
      <c r="N64"/>
      <c r="T64" s="146" t="s">
        <v>138</v>
      </c>
      <c r="U64" s="144" t="b">
        <v>0</v>
      </c>
      <c r="W64" s="201">
        <f t="shared" si="59"/>
        <v>0</v>
      </c>
      <c r="X64" s="206"/>
      <c r="Y64" s="206"/>
      <c r="Z64" s="206" t="str">
        <f t="shared" si="51"/>
        <v/>
      </c>
      <c r="AA64" s="206">
        <f t="shared" si="60"/>
        <v>0</v>
      </c>
      <c r="AB64" s="206" t="str">
        <f>IF(AA64=2,1,"")</f>
        <v/>
      </c>
      <c r="AC64" s="206" t="str">
        <f>IF(AA64=2,1,"")</f>
        <v/>
      </c>
    </row>
    <row r="65" spans="2:29" ht="14.25" customHeight="1" x14ac:dyDescent="0.25"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46"/>
      <c r="O65" s="31"/>
      <c r="T65" s="146"/>
      <c r="AA65" s="206">
        <f t="shared" si="60"/>
        <v>0</v>
      </c>
    </row>
    <row r="66" spans="2:29" ht="18.899999999999999" customHeight="1" x14ac:dyDescent="0.25">
      <c r="B66" s="30"/>
      <c r="C66" s="237" t="s">
        <v>55</v>
      </c>
      <c r="D66" s="237"/>
      <c r="E66" s="237"/>
      <c r="F66" s="237"/>
      <c r="G66" s="237"/>
      <c r="H66" s="237"/>
      <c r="I66" s="237"/>
      <c r="J66" s="237"/>
      <c r="K66" s="237"/>
      <c r="L66" s="237"/>
      <c r="M66" s="237"/>
      <c r="N66" s="32"/>
      <c r="O66" s="32"/>
      <c r="T66" s="146"/>
      <c r="W66" s="206"/>
      <c r="X66" s="206"/>
      <c r="Y66" s="206"/>
      <c r="Z66" s="206"/>
      <c r="AA66" s="206">
        <f t="shared" si="60"/>
        <v>0</v>
      </c>
      <c r="AB66" s="206"/>
      <c r="AC66" s="206"/>
    </row>
    <row r="67" spans="2:29" ht="24" hidden="1" customHeight="1" x14ac:dyDescent="0.25">
      <c r="C67" s="158">
        <v>18</v>
      </c>
      <c r="D67" s="137" t="s">
        <v>23</v>
      </c>
      <c r="E67" s="239" t="s">
        <v>122</v>
      </c>
      <c r="F67" s="239"/>
      <c r="G67" s="162"/>
      <c r="H67" s="162"/>
      <c r="I67" s="162"/>
      <c r="J67" s="118" t="str">
        <f t="shared" ref="J67:J78" si="61">Z67</f>
        <v/>
      </c>
      <c r="K67" s="133" t="str">
        <f t="shared" ref="K67:L67" si="62">AB67</f>
        <v/>
      </c>
      <c r="L67" s="133" t="str">
        <f t="shared" si="62"/>
        <v/>
      </c>
      <c r="M67" s="59"/>
      <c r="N67" s="53"/>
      <c r="O67" s="171"/>
      <c r="P67" s="221" t="str">
        <f>IF(AND(OR(W67=1),W20+W44=0),"Turite pasirinkti ANGLŲ I arba II kalbą","")</f>
        <v/>
      </c>
      <c r="Q67" s="221"/>
      <c r="R67" s="221"/>
      <c r="T67" s="147" t="str">
        <f t="shared" ref="T67:T78" si="63">E67</f>
        <v>Anglų kalbos kalbinių kompetencijų ugdymas</v>
      </c>
      <c r="U67" s="144" t="b">
        <v>0</v>
      </c>
      <c r="W67" s="206">
        <f t="shared" ref="W67:W76" si="64">IF(U67,1,0)</f>
        <v>0</v>
      </c>
      <c r="X67" s="206"/>
      <c r="Y67" s="201">
        <f>IF(AND(W67=1,OR(W44, W20)),1,0)</f>
        <v>0</v>
      </c>
      <c r="Z67" s="201" t="str">
        <f t="shared" ref="Z67:Z73" si="65">IF(AA67=2," ","")</f>
        <v/>
      </c>
      <c r="AA67" s="206">
        <f t="shared" si="60"/>
        <v>0</v>
      </c>
      <c r="AB67" s="206" t="str">
        <f t="shared" ref="AB67:AB75" si="66">IF(AA67=2,1,"")</f>
        <v/>
      </c>
      <c r="AC67" s="206" t="str">
        <f t="shared" ref="AC67:AC75" si="67">IF(AA67=2,1,"")</f>
        <v/>
      </c>
    </row>
    <row r="68" spans="2:29" ht="17.100000000000001" hidden="1" customHeight="1" x14ac:dyDescent="0.25">
      <c r="C68" s="242">
        <v>20</v>
      </c>
      <c r="D68" s="244" t="s">
        <v>24</v>
      </c>
      <c r="E68" s="268" t="s">
        <v>100</v>
      </c>
      <c r="F68" s="268"/>
      <c r="G68" s="162"/>
      <c r="H68" s="162"/>
      <c r="I68" s="162"/>
      <c r="J68" s="118" t="str">
        <f t="shared" si="61"/>
        <v/>
      </c>
      <c r="K68" s="133" t="str">
        <f t="shared" ref="K68:K78" si="68">AB68</f>
        <v/>
      </c>
      <c r="L68" s="133" t="str">
        <f t="shared" ref="L68:L78" si="69">AC68</f>
        <v/>
      </c>
      <c r="M68" s="107"/>
      <c r="N68" s="53"/>
      <c r="O68" s="171"/>
      <c r="P68" s="221" t="str">
        <f>IF(AND(OR(W68=1,W69=1),W21+W46+W53=0),"Turite pasirinkti VOKIEČIŲ k. dalyką","")</f>
        <v/>
      </c>
      <c r="Q68" s="221"/>
      <c r="R68" s="221"/>
      <c r="T68" s="147" t="str">
        <f t="shared" si="63"/>
        <v>Kalbos vartojimo praktika</v>
      </c>
      <c r="U68" s="144" t="b">
        <v>0</v>
      </c>
      <c r="W68" s="206">
        <f t="shared" si="64"/>
        <v>0</v>
      </c>
      <c r="X68" s="206"/>
      <c r="Y68" s="201">
        <f>IF(AND(W68=1,OR($W$21+$W$46+$W$53&gt;0)),1,0)</f>
        <v>0</v>
      </c>
      <c r="Z68" s="201" t="str">
        <f t="shared" si="65"/>
        <v/>
      </c>
      <c r="AA68" s="206">
        <f t="shared" si="60"/>
        <v>0</v>
      </c>
      <c r="AB68" s="206" t="str">
        <f t="shared" si="66"/>
        <v/>
      </c>
      <c r="AC68" s="206" t="str">
        <f t="shared" si="67"/>
        <v/>
      </c>
    </row>
    <row r="69" spans="2:29" ht="17.100000000000001" hidden="1" customHeight="1" x14ac:dyDescent="0.25">
      <c r="C69" s="243"/>
      <c r="D69" s="245"/>
      <c r="E69" s="246" t="s">
        <v>101</v>
      </c>
      <c r="F69" s="247"/>
      <c r="G69" s="155"/>
      <c r="H69" s="155"/>
      <c r="I69" s="155"/>
      <c r="J69" s="119" t="str">
        <f>Z69</f>
        <v/>
      </c>
      <c r="K69" s="67" t="str">
        <f>AB69</f>
        <v/>
      </c>
      <c r="L69" s="67" t="str">
        <f>AC69</f>
        <v/>
      </c>
      <c r="M69" s="120"/>
      <c r="N69" s="53"/>
      <c r="O69" s="171"/>
      <c r="P69" s="221"/>
      <c r="Q69" s="221"/>
      <c r="R69" s="221"/>
      <c r="T69" s="147" t="str">
        <f t="shared" si="63"/>
        <v>Viešojo kalbėjimo (debatai)</v>
      </c>
      <c r="U69" s="144" t="b">
        <v>0</v>
      </c>
      <c r="W69" s="206">
        <f t="shared" si="64"/>
        <v>0</v>
      </c>
      <c r="X69" s="206"/>
      <c r="Y69" s="201">
        <f>IF(AND(W69=1,OR($W$21+$W$46+$W$53&gt;0)),1,0)</f>
        <v>0</v>
      </c>
      <c r="Z69" s="201" t="str">
        <f t="shared" si="65"/>
        <v/>
      </c>
      <c r="AA69" s="206">
        <f t="shared" si="60"/>
        <v>0</v>
      </c>
      <c r="AB69" s="206" t="str">
        <f>IF(AA69=2,1,"")</f>
        <v/>
      </c>
      <c r="AC69" s="206" t="str">
        <f t="shared" si="67"/>
        <v/>
      </c>
    </row>
    <row r="70" spans="2:29" ht="17.100000000000001" hidden="1" customHeight="1" x14ac:dyDescent="0.25">
      <c r="C70" s="158">
        <v>21</v>
      </c>
      <c r="D70" s="137" t="s">
        <v>25</v>
      </c>
      <c r="E70" s="258" t="s">
        <v>46</v>
      </c>
      <c r="F70" s="258"/>
      <c r="G70" s="156"/>
      <c r="H70" s="156"/>
      <c r="I70" s="156"/>
      <c r="J70" s="47" t="str">
        <f t="shared" si="61"/>
        <v/>
      </c>
      <c r="K70" s="15" t="str">
        <f t="shared" si="68"/>
        <v/>
      </c>
      <c r="L70" s="15" t="str">
        <f t="shared" si="69"/>
        <v/>
      </c>
      <c r="M70" s="16"/>
      <c r="N70" s="53"/>
      <c r="O70" s="171"/>
      <c r="P70" s="221" t="str">
        <f>IF(AND(W70=1,W22&lt;&gt;1),"Turite pasirinkti ISTORIJOS dalyką","")</f>
        <v/>
      </c>
      <c r="Q70" s="221"/>
      <c r="R70" s="221"/>
      <c r="T70" s="147" t="str">
        <f>E70</f>
        <v>Istorinių šaltinių analizė</v>
      </c>
      <c r="U70" s="144" t="b">
        <v>0</v>
      </c>
      <c r="W70" s="206">
        <f>IF(U70,1,0)</f>
        <v>0</v>
      </c>
      <c r="X70" s="206"/>
      <c r="Y70" s="201">
        <f>W22+W70</f>
        <v>0</v>
      </c>
      <c r="Z70" s="201" t="str">
        <f t="shared" si="65"/>
        <v/>
      </c>
      <c r="AA70" s="206">
        <f t="shared" si="60"/>
        <v>0</v>
      </c>
      <c r="AB70" s="206" t="str">
        <f>IF(AA70=2,1,"")</f>
        <v/>
      </c>
      <c r="AC70" s="206" t="str">
        <f>IF(AA70=2,1,"")</f>
        <v/>
      </c>
    </row>
    <row r="71" spans="2:29" ht="17.100000000000001" hidden="1" customHeight="1" x14ac:dyDescent="0.25">
      <c r="C71" s="151">
        <v>22</v>
      </c>
      <c r="D71" s="153" t="s">
        <v>26</v>
      </c>
      <c r="E71" s="258" t="s">
        <v>92</v>
      </c>
      <c r="F71" s="258"/>
      <c r="G71" s="157"/>
      <c r="H71" s="157"/>
      <c r="I71" s="157"/>
      <c r="J71" s="48" t="str">
        <f t="shared" si="61"/>
        <v/>
      </c>
      <c r="K71" s="21" t="str">
        <f t="shared" si="68"/>
        <v/>
      </c>
      <c r="L71" s="21" t="str">
        <f t="shared" si="69"/>
        <v/>
      </c>
      <c r="M71" s="45"/>
      <c r="N71" s="53"/>
      <c r="O71" s="171"/>
      <c r="P71" s="221" t="str">
        <f>IF(AND(W71=1,W23&lt;&gt;1),"Turite pasirinkti GEOGRAFIJOS dalyką","")</f>
        <v/>
      </c>
      <c r="Q71" s="221"/>
      <c r="R71" s="221"/>
      <c r="T71" s="147" t="str">
        <f t="shared" si="63"/>
        <v>Geografijos praktiniai darbai</v>
      </c>
      <c r="U71" s="144" t="b">
        <v>0</v>
      </c>
      <c r="W71" s="206">
        <f t="shared" si="64"/>
        <v>0</v>
      </c>
      <c r="X71" s="206"/>
      <c r="Y71" s="201">
        <f>W23+W71</f>
        <v>0</v>
      </c>
      <c r="Z71" s="201" t="str">
        <f t="shared" si="65"/>
        <v/>
      </c>
      <c r="AA71" s="206">
        <f t="shared" si="60"/>
        <v>0</v>
      </c>
      <c r="AB71" s="206" t="str">
        <f t="shared" si="66"/>
        <v/>
      </c>
      <c r="AC71" s="206" t="str">
        <f t="shared" si="67"/>
        <v/>
      </c>
    </row>
    <row r="72" spans="2:29" ht="17.100000000000001" hidden="1" customHeight="1" x14ac:dyDescent="0.25">
      <c r="C72" s="242">
        <v>23</v>
      </c>
      <c r="D72" s="244" t="s">
        <v>27</v>
      </c>
      <c r="E72" s="266" t="s">
        <v>108</v>
      </c>
      <c r="F72" s="266"/>
      <c r="G72" s="60"/>
      <c r="H72" s="60"/>
      <c r="I72" s="60"/>
      <c r="J72" s="111" t="str">
        <f t="shared" si="61"/>
        <v/>
      </c>
      <c r="K72" s="112" t="str">
        <f t="shared" si="68"/>
        <v/>
      </c>
      <c r="L72" s="112" t="str">
        <f t="shared" si="69"/>
        <v/>
      </c>
      <c r="M72" s="113"/>
      <c r="N72" s="53"/>
      <c r="O72" s="171"/>
      <c r="P72" s="221" t="str">
        <f>IF(AND(W72=1,NOT(U24)),"Turite pasirinkti MATEMATIKOS B kursą","")</f>
        <v/>
      </c>
      <c r="Q72" s="221"/>
      <c r="R72" s="221"/>
      <c r="T72" s="147" t="str">
        <f t="shared" si="63"/>
        <v>Tradicinių uždavinių sprendimas</v>
      </c>
      <c r="U72" s="144" t="b">
        <v>0</v>
      </c>
      <c r="W72" s="206">
        <f t="shared" si="64"/>
        <v>0</v>
      </c>
      <c r="Y72" s="201">
        <f>IF(U24,W72,0)</f>
        <v>0</v>
      </c>
      <c r="Z72" s="201" t="str">
        <f t="shared" si="65"/>
        <v/>
      </c>
      <c r="AA72" s="206">
        <f t="shared" si="60"/>
        <v>0</v>
      </c>
      <c r="AB72" s="206" t="str">
        <f t="shared" si="66"/>
        <v/>
      </c>
      <c r="AC72" s="206" t="str">
        <f t="shared" si="67"/>
        <v/>
      </c>
    </row>
    <row r="73" spans="2:29" ht="17.100000000000001" hidden="1" customHeight="1" x14ac:dyDescent="0.25">
      <c r="C73" s="264"/>
      <c r="D73" s="259"/>
      <c r="E73" s="269" t="s">
        <v>109</v>
      </c>
      <c r="F73" s="270"/>
      <c r="G73" s="154"/>
      <c r="H73" s="154"/>
      <c r="I73" s="154"/>
      <c r="J73" s="114" t="str">
        <f>Z73</f>
        <v/>
      </c>
      <c r="K73" s="25" t="str">
        <f>AB73</f>
        <v/>
      </c>
      <c r="L73" s="25" t="str">
        <f>AC73</f>
        <v/>
      </c>
      <c r="M73" s="115"/>
      <c r="N73" s="53"/>
      <c r="O73" s="171"/>
      <c r="P73" s="221" t="str">
        <f>IF(AND(W73=1,NOT(V24)),"Turite pasirinkti MATEMATIKOS A kursą","")</f>
        <v/>
      </c>
      <c r="Q73" s="221"/>
      <c r="R73" s="221"/>
      <c r="T73" s="147" t="str">
        <f t="shared" si="63"/>
        <v>Uždavinių sprendimo praktika</v>
      </c>
      <c r="U73" s="144" t="b">
        <v>0</v>
      </c>
      <c r="W73" s="206">
        <f t="shared" si="64"/>
        <v>0</v>
      </c>
      <c r="Y73" s="201">
        <f>IF(V24,W73,0)</f>
        <v>0</v>
      </c>
      <c r="Z73" s="201" t="str">
        <f t="shared" si="65"/>
        <v/>
      </c>
      <c r="AA73" s="206">
        <f t="shared" si="60"/>
        <v>0</v>
      </c>
      <c r="AB73" s="206" t="str">
        <f>IF(AA73=2,1,"")</f>
        <v/>
      </c>
      <c r="AC73" s="206" t="str">
        <f t="shared" si="67"/>
        <v/>
      </c>
    </row>
    <row r="74" spans="2:29" ht="17.100000000000001" hidden="1" customHeight="1" x14ac:dyDescent="0.25">
      <c r="C74" s="243"/>
      <c r="D74" s="245"/>
      <c r="E74" s="261" t="s">
        <v>110</v>
      </c>
      <c r="F74" s="262"/>
      <c r="G74" s="60"/>
      <c r="H74" s="60"/>
      <c r="I74" s="60"/>
      <c r="J74" s="111" t="str">
        <f>Z74</f>
        <v/>
      </c>
      <c r="K74" s="112" t="str">
        <f>AB74</f>
        <v/>
      </c>
      <c r="L74" s="112" t="str">
        <f>AC74</f>
        <v/>
      </c>
      <c r="M74" s="113"/>
      <c r="N74" s="53"/>
      <c r="O74" s="171"/>
      <c r="P74" s="221" t="str">
        <f>IF(AND(W74=1,NOT(V24)),"Turite pasirinkti MATEMATIKOS A kursą","")</f>
        <v/>
      </c>
      <c r="Q74" s="221"/>
      <c r="R74" s="221"/>
      <c r="T74" s="147" t="str">
        <f t="shared" si="63"/>
        <v>Olimpiadiniai uždaviniai</v>
      </c>
      <c r="U74" s="144" t="b">
        <v>0</v>
      </c>
      <c r="W74" s="206">
        <f t="shared" si="64"/>
        <v>0</v>
      </c>
      <c r="Y74" s="201">
        <f>IF(V24,W74,0)</f>
        <v>0</v>
      </c>
      <c r="Z74" s="201" t="str">
        <f t="shared" ref="Z74" si="70">IF(AA74=2,"M","")</f>
        <v/>
      </c>
      <c r="AA74" s="206">
        <f t="shared" si="60"/>
        <v>0</v>
      </c>
      <c r="AB74" s="206" t="str">
        <f>IF(AA74=2,1,"")</f>
        <v/>
      </c>
      <c r="AC74" s="206" t="str">
        <f t="shared" si="67"/>
        <v/>
      </c>
    </row>
    <row r="75" spans="2:29" ht="24.75" hidden="1" customHeight="1" x14ac:dyDescent="0.25">
      <c r="C75" s="158">
        <v>24</v>
      </c>
      <c r="D75" s="160" t="s">
        <v>39</v>
      </c>
      <c r="E75" s="239" t="s">
        <v>123</v>
      </c>
      <c r="F75" s="239"/>
      <c r="G75" s="162"/>
      <c r="H75" s="162"/>
      <c r="I75" s="162"/>
      <c r="J75" s="118" t="str">
        <f t="shared" si="61"/>
        <v/>
      </c>
      <c r="K75" s="133" t="str">
        <f t="shared" si="68"/>
        <v/>
      </c>
      <c r="L75" s="133" t="str">
        <f t="shared" si="69"/>
        <v/>
      </c>
      <c r="M75" s="107"/>
      <c r="N75" s="53"/>
      <c r="O75" s="171"/>
      <c r="P75" s="221" t="str">
        <f>IF(AND(W75=1,NOT(V48)),"Turite pasirinkti IT (programavimas) A kursą","")</f>
        <v/>
      </c>
      <c r="Q75" s="221"/>
      <c r="R75" s="221"/>
      <c r="T75" s="147" t="str">
        <f t="shared" si="63"/>
        <v xml:space="preserve">Pogramavimo praktikumas </v>
      </c>
      <c r="U75" s="144" t="b">
        <v>0</v>
      </c>
      <c r="W75" s="206">
        <f t="shared" si="64"/>
        <v>0</v>
      </c>
      <c r="Y75" s="201">
        <f>W48+W75</f>
        <v>0</v>
      </c>
      <c r="Z75" s="201" t="str">
        <f>IF(AA75=2," ","")</f>
        <v/>
      </c>
      <c r="AA75" s="206">
        <f t="shared" si="60"/>
        <v>0</v>
      </c>
      <c r="AB75" s="206" t="str">
        <f t="shared" si="66"/>
        <v/>
      </c>
      <c r="AC75" s="206" t="str">
        <f t="shared" si="67"/>
        <v/>
      </c>
    </row>
    <row r="76" spans="2:29" ht="17.100000000000001" customHeight="1" x14ac:dyDescent="0.25">
      <c r="C76" s="151">
        <v>25</v>
      </c>
      <c r="D76" s="153" t="s">
        <v>28</v>
      </c>
      <c r="E76" s="260" t="s">
        <v>156</v>
      </c>
      <c r="F76" s="260"/>
      <c r="G76" s="157"/>
      <c r="H76" s="157"/>
      <c r="I76" s="157"/>
      <c r="J76" s="48" t="str">
        <f t="shared" si="61"/>
        <v/>
      </c>
      <c r="K76" s="21" t="str">
        <f t="shared" si="68"/>
        <v/>
      </c>
      <c r="L76" s="21" t="str">
        <f t="shared" si="69"/>
        <v/>
      </c>
      <c r="M76" s="45"/>
      <c r="N76" s="53"/>
      <c r="O76" s="171"/>
      <c r="P76" s="221" t="str">
        <f>IF(AND(W76=1,W25&lt;&gt;1),"Turite pasirinkti BILOGIJOS A kursą","")</f>
        <v/>
      </c>
      <c r="Q76" s="221"/>
      <c r="R76" s="221"/>
      <c r="T76" s="147" t="str">
        <f t="shared" si="63"/>
        <v>Biologija kitaip</v>
      </c>
      <c r="U76" s="144" t="b">
        <v>0</v>
      </c>
      <c r="W76" s="206">
        <f t="shared" si="64"/>
        <v>0</v>
      </c>
      <c r="Y76" s="201">
        <f>W25+W76</f>
        <v>0</v>
      </c>
      <c r="Z76" s="201" t="str">
        <f>IF(AA76=2," ","")</f>
        <v/>
      </c>
      <c r="AA76" s="206">
        <f>IF(U76=TRUE,1,0)</f>
        <v>0</v>
      </c>
      <c r="AB76" s="206" t="str">
        <f>IF(AA76=4,1,"")</f>
        <v/>
      </c>
      <c r="AC76" s="206" t="str">
        <f>IF(AA76=1,1,"")</f>
        <v/>
      </c>
    </row>
    <row r="77" spans="2:29" ht="17.100000000000001" hidden="1" customHeight="1" x14ac:dyDescent="0.25">
      <c r="C77" s="151">
        <v>26</v>
      </c>
      <c r="D77" s="153" t="s">
        <v>29</v>
      </c>
      <c r="E77" s="238" t="s">
        <v>47</v>
      </c>
      <c r="F77" s="238"/>
      <c r="G77" s="157"/>
      <c r="H77" s="157"/>
      <c r="I77" s="157"/>
      <c r="J77" s="48" t="str">
        <f t="shared" si="61"/>
        <v/>
      </c>
      <c r="K77" s="21" t="str">
        <f t="shared" si="68"/>
        <v/>
      </c>
      <c r="L77" s="21" t="str">
        <f t="shared" si="69"/>
        <v/>
      </c>
      <c r="M77" s="45"/>
      <c r="N77" s="53"/>
      <c r="O77" s="171"/>
      <c r="P77" s="221" t="str">
        <f>IF(AND(W77=1,W26&lt;&gt;1),"Turite pasirinkti FIZIKOS dalyką","")</f>
        <v/>
      </c>
      <c r="Q77" s="221"/>
      <c r="R77" s="221"/>
      <c r="T77" s="147" t="str">
        <f t="shared" si="63"/>
        <v>Fizikos eksperimentiniai uždaviniai</v>
      </c>
      <c r="U77" s="144" t="b">
        <v>0</v>
      </c>
      <c r="W77" s="206">
        <f t="shared" ref="W77:W78" si="71">IF(U77,1,0)</f>
        <v>0</v>
      </c>
      <c r="Y77" s="201">
        <f t="shared" ref="Y77:Y78" si="72">W26+W77</f>
        <v>0</v>
      </c>
      <c r="Z77" s="201" t="str">
        <f t="shared" ref="Z77:Z78" si="73">IF(AA77=2," ","")</f>
        <v/>
      </c>
      <c r="AA77" s="206">
        <f t="shared" ref="AA77:AA78" si="74">IF(U77=TRUE,1,0)</f>
        <v>0</v>
      </c>
      <c r="AB77" s="206" t="str">
        <f t="shared" ref="AB77:AB78" si="75">IF(AA77=4,1,"")</f>
        <v/>
      </c>
      <c r="AC77" s="206" t="str">
        <f t="shared" ref="AC77:AC78" si="76">IF(AA77=1,1,"")</f>
        <v/>
      </c>
    </row>
    <row r="78" spans="2:29" ht="17.100000000000001" customHeight="1" x14ac:dyDescent="0.25">
      <c r="C78" s="151">
        <v>27</v>
      </c>
      <c r="D78" s="153" t="s">
        <v>30</v>
      </c>
      <c r="E78" s="238" t="s">
        <v>157</v>
      </c>
      <c r="F78" s="238"/>
      <c r="G78" s="157"/>
      <c r="H78" s="157"/>
      <c r="I78" s="157"/>
      <c r="J78" s="48" t="str">
        <f t="shared" si="61"/>
        <v/>
      </c>
      <c r="K78" s="21" t="str">
        <f t="shared" si="68"/>
        <v/>
      </c>
      <c r="L78" s="21" t="str">
        <f t="shared" si="69"/>
        <v/>
      </c>
      <c r="M78" s="45"/>
      <c r="N78" s="53"/>
      <c r="O78" s="171"/>
      <c r="P78" s="221" t="str">
        <f>IF(AND(W78=1,W27&lt;&gt;1),"Turite pasirinkti CHEMIJOS A kursą","")</f>
        <v/>
      </c>
      <c r="Q78" s="221"/>
      <c r="R78" s="221"/>
      <c r="T78" s="147" t="str">
        <f t="shared" si="63"/>
        <v>Praktinė chemija</v>
      </c>
      <c r="U78" s="144" t="b">
        <v>0</v>
      </c>
      <c r="W78" s="206">
        <f t="shared" si="71"/>
        <v>0</v>
      </c>
      <c r="Y78" s="201">
        <f t="shared" si="72"/>
        <v>0</v>
      </c>
      <c r="Z78" s="201" t="str">
        <f t="shared" si="73"/>
        <v/>
      </c>
      <c r="AA78" s="206">
        <f t="shared" si="74"/>
        <v>0</v>
      </c>
      <c r="AB78" s="206" t="str">
        <f t="shared" si="75"/>
        <v/>
      </c>
      <c r="AC78" s="206" t="str">
        <f t="shared" si="76"/>
        <v/>
      </c>
    </row>
    <row r="79" spans="2:29" ht="12.75" customHeight="1" x14ac:dyDescent="0.25">
      <c r="C79" s="38"/>
      <c r="D79" s="40"/>
      <c r="E79" s="89"/>
      <c r="F79" s="89"/>
      <c r="G79" s="90"/>
      <c r="H79" s="90"/>
      <c r="I79" s="90"/>
      <c r="J79" s="91"/>
      <c r="K79" s="92"/>
      <c r="L79" s="92"/>
      <c r="M79" s="93"/>
      <c r="N79" s="53"/>
      <c r="O79" s="171"/>
      <c r="P79" s="168"/>
      <c r="Q79" s="168"/>
      <c r="R79" s="168"/>
      <c r="T79" s="147"/>
      <c r="W79" s="206"/>
      <c r="Y79" s="201"/>
      <c r="Z79" s="201"/>
      <c r="AA79" s="206"/>
      <c r="AB79" s="206"/>
      <c r="AC79" s="206"/>
    </row>
    <row r="80" spans="2:29" x14ac:dyDescent="0.25">
      <c r="D80" s="49" t="s">
        <v>0</v>
      </c>
      <c r="E80" s="1">
        <f>U80</f>
        <v>0</v>
      </c>
      <c r="F80" s="172" t="str">
        <f>IF(E80&gt;7,"","Dalykų turi būti ne mažiau kaip 8")</f>
        <v>Dalykų turi būti ne mažiau kaip 8</v>
      </c>
      <c r="G80" s="173"/>
      <c r="H80" s="173"/>
      <c r="I80" s="173"/>
      <c r="J80" s="173"/>
      <c r="K80" s="173"/>
      <c r="L80" s="173"/>
      <c r="M80" s="173"/>
      <c r="N80" s="173"/>
      <c r="O80" s="174"/>
      <c r="P80" s="174"/>
      <c r="T80" s="148" t="s">
        <v>0</v>
      </c>
      <c r="U80" s="144">
        <f>COUNTIF(Z17:Z47,"B")+COUNTIF(Z17:Z49,"A")+COUNTIF(Z17:Z60,"B2")+COUNTIF(Z21:Z62,"B1")+COUNTIF(Z52:Z62,"p")</f>
        <v>0</v>
      </c>
    </row>
    <row r="81" spans="2:48" ht="9" customHeight="1" x14ac:dyDescent="0.25">
      <c r="D81" s="50"/>
      <c r="E81" s="3"/>
      <c r="F81" s="175"/>
      <c r="G81" s="51"/>
      <c r="H81" s="51"/>
      <c r="I81" s="51"/>
      <c r="K81" s="51"/>
      <c r="L81" s="51"/>
      <c r="M81" s="51"/>
      <c r="N81" s="35"/>
      <c r="T81" s="144"/>
    </row>
    <row r="82" spans="2:48" ht="27" customHeight="1" x14ac:dyDescent="0.25">
      <c r="B82" s="240" t="s">
        <v>115</v>
      </c>
      <c r="C82" s="240"/>
      <c r="D82" s="241"/>
      <c r="E82" s="1">
        <f>U82</f>
        <v>0</v>
      </c>
      <c r="F82" s="173" t="str">
        <f>IF((E82&lt;=35)*(E82&gt;=28),"","Pamokų turi būti ne mažiau kaip 28 ir ne daugiau kaip 35")</f>
        <v>Pamokų turi būti ne mažiau kaip 28 ir ne daugiau kaip 35</v>
      </c>
      <c r="G82" s="52"/>
      <c r="H82" s="52"/>
      <c r="I82" s="52"/>
      <c r="K82" s="52"/>
      <c r="L82" s="52"/>
      <c r="M82" s="52"/>
      <c r="N82" s="35"/>
      <c r="T82" s="148" t="s">
        <v>1</v>
      </c>
      <c r="U82" s="144">
        <f>SUM(AB17:AB78)</f>
        <v>0</v>
      </c>
    </row>
    <row r="83" spans="2:48" ht="9" customHeight="1" x14ac:dyDescent="0.25">
      <c r="D83" s="50"/>
      <c r="E83" s="3"/>
      <c r="F83" s="175"/>
      <c r="G83" s="51"/>
      <c r="H83" s="51"/>
      <c r="I83" s="51"/>
      <c r="K83" s="51"/>
      <c r="L83" s="51"/>
      <c r="M83" s="51"/>
      <c r="N83" s="35"/>
      <c r="T83" s="148"/>
    </row>
    <row r="84" spans="2:48" ht="27" customHeight="1" x14ac:dyDescent="0.25">
      <c r="B84" s="240" t="s">
        <v>116</v>
      </c>
      <c r="C84" s="240"/>
      <c r="D84" s="241"/>
      <c r="E84" s="1">
        <f>U84</f>
        <v>0</v>
      </c>
      <c r="F84" s="173" t="str">
        <f>IF((E84&lt;=35)*(E84&gt;=28),"","Pamokų turi būti ne mažiau kaip 28 ir ne daugiau kaip 35")</f>
        <v>Pamokų turi būti ne mažiau kaip 28 ir ne daugiau kaip 35</v>
      </c>
      <c r="G84" s="52"/>
      <c r="H84" s="52"/>
      <c r="I84" s="52"/>
      <c r="K84" s="52"/>
      <c r="L84" s="52"/>
      <c r="M84" s="52"/>
      <c r="N84" s="35"/>
      <c r="T84" s="148" t="s">
        <v>3</v>
      </c>
      <c r="U84" s="144">
        <f>SUM(AC17:AC78)</f>
        <v>0</v>
      </c>
    </row>
    <row r="85" spans="2:48" ht="9" customHeight="1" x14ac:dyDescent="0.25">
      <c r="D85" s="50"/>
      <c r="E85" s="3"/>
      <c r="F85" s="51"/>
      <c r="G85" s="51"/>
      <c r="H85" s="51"/>
      <c r="I85" s="51"/>
      <c r="K85" s="51"/>
      <c r="L85" s="51"/>
      <c r="M85" s="51"/>
      <c r="N85" s="35"/>
      <c r="T85" s="144"/>
    </row>
    <row r="86" spans="2:48" ht="15" customHeight="1" x14ac:dyDescent="0.25">
      <c r="D86" s="49" t="s">
        <v>49</v>
      </c>
      <c r="E86" s="1">
        <f>COUNTIF(Z17:Z59,"A")+COUNTIF(Z17:Z59,"B2")</f>
        <v>0</v>
      </c>
      <c r="F86" s="51"/>
      <c r="G86" s="51"/>
      <c r="H86" s="51"/>
      <c r="I86" s="51"/>
      <c r="K86" s="51"/>
      <c r="L86" s="53"/>
      <c r="M86" s="51"/>
      <c r="N86" s="52"/>
      <c r="O86" s="83"/>
      <c r="T86" s="144"/>
    </row>
    <row r="87" spans="2:48" ht="9" customHeight="1" x14ac:dyDescent="0.25">
      <c r="D87" s="50"/>
      <c r="E87" s="3"/>
      <c r="F87" s="51"/>
      <c r="G87" s="51"/>
      <c r="H87" s="51"/>
      <c r="I87" s="51"/>
      <c r="K87" s="51"/>
      <c r="L87" s="51"/>
      <c r="M87" s="51"/>
      <c r="N87" s="35"/>
      <c r="T87" s="144"/>
    </row>
    <row r="88" spans="2:48" ht="15" customHeight="1" x14ac:dyDescent="0.25">
      <c r="D88" s="49" t="s">
        <v>50</v>
      </c>
      <c r="E88" s="1">
        <f>COUNTIF(Z17:Z59,"B")+COUNTIF(Z17:Z59,"B1")</f>
        <v>0</v>
      </c>
      <c r="F88" s="51"/>
      <c r="G88" s="51"/>
      <c r="H88" s="51"/>
      <c r="I88" s="51"/>
      <c r="K88" s="51"/>
      <c r="L88" s="53"/>
      <c r="M88" s="51"/>
      <c r="N88" s="52"/>
      <c r="O88" s="83"/>
      <c r="T88" s="144"/>
    </row>
    <row r="89" spans="2:48" ht="15" customHeight="1" x14ac:dyDescent="0.25">
      <c r="D89" s="49"/>
      <c r="E89" s="54"/>
      <c r="F89" s="51"/>
      <c r="G89" s="51"/>
      <c r="H89" s="51"/>
      <c r="I89" s="51"/>
      <c r="K89" s="51"/>
      <c r="L89" s="53"/>
      <c r="M89" s="51"/>
      <c r="N89" s="52"/>
      <c r="O89" s="83"/>
      <c r="T89" s="144"/>
    </row>
    <row r="90" spans="2:48" x14ac:dyDescent="0.25"/>
    <row r="91" spans="2:48" x14ac:dyDescent="0.25">
      <c r="D91" s="55">
        <f ca="1">TODAY()</f>
        <v>44664</v>
      </c>
      <c r="F91" s="56"/>
      <c r="I91" s="250"/>
      <c r="J91" s="250"/>
      <c r="K91" s="250"/>
      <c r="L91" s="250"/>
      <c r="M91" s="250"/>
      <c r="N91" s="250"/>
      <c r="T91" s="146"/>
    </row>
    <row r="92" spans="2:48" x14ac:dyDescent="0.25">
      <c r="D92" s="37" t="s">
        <v>51</v>
      </c>
      <c r="F92" s="37" t="s">
        <v>120</v>
      </c>
      <c r="I92" s="249" t="s">
        <v>121</v>
      </c>
      <c r="J92" s="249"/>
      <c r="K92" s="249"/>
      <c r="L92" s="249"/>
      <c r="M92" s="249"/>
      <c r="N92" s="249"/>
      <c r="T92" s="146"/>
    </row>
    <row r="93" spans="2:48" x14ac:dyDescent="0.25">
      <c r="B93" s="35"/>
      <c r="C93" s="56"/>
      <c r="D93" s="163"/>
      <c r="E93" s="56"/>
      <c r="F93" s="35"/>
      <c r="G93" s="35"/>
      <c r="H93" s="35"/>
      <c r="I93" s="35"/>
      <c r="J93" s="35"/>
      <c r="K93" s="35"/>
      <c r="L93" s="35"/>
      <c r="M93" s="35"/>
      <c r="N93" s="35"/>
      <c r="T93" s="146"/>
    </row>
    <row r="94" spans="2:48" s="110" customFormat="1" ht="9.6" x14ac:dyDescent="0.25">
      <c r="B94" s="108"/>
      <c r="C94" s="108" t="s">
        <v>125</v>
      </c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P94" s="176"/>
      <c r="Q94" s="176"/>
      <c r="R94" s="176"/>
      <c r="S94" s="182"/>
      <c r="T94" s="149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H94" s="191"/>
      <c r="AI94" s="191"/>
      <c r="AJ94" s="191"/>
      <c r="AK94" s="191"/>
      <c r="AL94" s="191"/>
      <c r="AM94" s="191"/>
      <c r="AN94" s="191"/>
      <c r="AO94" s="191"/>
      <c r="AP94" s="191"/>
      <c r="AQ94" s="191"/>
      <c r="AR94" s="191"/>
      <c r="AS94" s="191"/>
      <c r="AT94" s="191"/>
      <c r="AU94" s="191"/>
      <c r="AV94" s="191"/>
    </row>
    <row r="95" spans="2:48" ht="6" customHeight="1" x14ac:dyDescent="0.25"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84"/>
      <c r="P95" s="83"/>
      <c r="Q95" s="83"/>
      <c r="R95" s="83"/>
      <c r="S95" s="183"/>
      <c r="T95" s="146"/>
    </row>
    <row r="96" spans="2:48" s="96" customFormat="1" ht="12.6" hidden="1" thickTop="1" x14ac:dyDescent="0.25">
      <c r="B96" s="236" t="s">
        <v>158</v>
      </c>
      <c r="C96" s="236"/>
      <c r="D96" s="236"/>
      <c r="E96" s="236"/>
      <c r="F96" s="236"/>
      <c r="G96" s="236"/>
      <c r="H96" s="236"/>
      <c r="I96" s="236"/>
      <c r="J96" s="236"/>
      <c r="K96" s="236"/>
      <c r="L96" s="236"/>
      <c r="M96" s="236"/>
      <c r="N96" s="236"/>
      <c r="O96" s="85"/>
      <c r="P96" s="177"/>
      <c r="Q96" s="177"/>
      <c r="R96" s="177"/>
      <c r="S96" s="184"/>
      <c r="T96" s="147"/>
      <c r="U96" s="203"/>
      <c r="V96" s="203"/>
      <c r="W96" s="203"/>
      <c r="X96" s="203"/>
      <c r="Y96" s="203"/>
      <c r="Z96" s="203"/>
      <c r="AA96" s="203"/>
      <c r="AB96" s="203"/>
      <c r="AC96" s="203"/>
      <c r="AD96" s="203"/>
      <c r="AE96" s="203"/>
      <c r="AF96" s="203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</row>
    <row r="97" spans="20:20" hidden="1" x14ac:dyDescent="0.25">
      <c r="T97" s="146"/>
    </row>
    <row r="98" spans="20:20" hidden="1" x14ac:dyDescent="0.25">
      <c r="T98" s="146"/>
    </row>
    <row r="99" spans="20:20" hidden="1" x14ac:dyDescent="0.25">
      <c r="T99" s="146"/>
    </row>
    <row r="100" spans="20:20" hidden="1" x14ac:dyDescent="0.25">
      <c r="T100" s="146"/>
    </row>
    <row r="101" spans="20:20" hidden="1" x14ac:dyDescent="0.25">
      <c r="T101" s="146"/>
    </row>
    <row r="102" spans="20:20" hidden="1" x14ac:dyDescent="0.25">
      <c r="T102" s="146"/>
    </row>
    <row r="103" spans="20:20" hidden="1" x14ac:dyDescent="0.25">
      <c r="T103" s="146"/>
    </row>
    <row r="104" spans="20:20" hidden="1" x14ac:dyDescent="0.25">
      <c r="T104" s="146"/>
    </row>
    <row r="105" spans="20:20" hidden="1" x14ac:dyDescent="0.25">
      <c r="T105" s="146"/>
    </row>
    <row r="106" spans="20:20" hidden="1" x14ac:dyDescent="0.25">
      <c r="T106" s="146"/>
    </row>
    <row r="107" spans="20:20" hidden="1" x14ac:dyDescent="0.25">
      <c r="T107" s="146"/>
    </row>
    <row r="108" spans="20:20" hidden="1" x14ac:dyDescent="0.25">
      <c r="T108" s="146"/>
    </row>
    <row r="109" spans="20:20" hidden="1" x14ac:dyDescent="0.25">
      <c r="T109" s="146"/>
    </row>
    <row r="110" spans="20:20" hidden="1" x14ac:dyDescent="0.25">
      <c r="T110" s="146"/>
    </row>
    <row r="111" spans="20:20" hidden="1" x14ac:dyDescent="0.25">
      <c r="T111" s="146"/>
    </row>
    <row r="112" spans="20:20" hidden="1" x14ac:dyDescent="0.25">
      <c r="T112" s="146"/>
    </row>
    <row r="113" spans="20:20" hidden="1" x14ac:dyDescent="0.25">
      <c r="T113" s="146"/>
    </row>
    <row r="114" spans="20:20" hidden="1" x14ac:dyDescent="0.25">
      <c r="T114" s="146"/>
    </row>
    <row r="115" spans="20:20" hidden="1" x14ac:dyDescent="0.25">
      <c r="T115" s="146"/>
    </row>
    <row r="116" spans="20:20" hidden="1" x14ac:dyDescent="0.25">
      <c r="T116" s="146"/>
    </row>
    <row r="117" spans="20:20" hidden="1" x14ac:dyDescent="0.25">
      <c r="T117" s="146"/>
    </row>
    <row r="118" spans="20:20" hidden="1" x14ac:dyDescent="0.25">
      <c r="T118" s="146"/>
    </row>
    <row r="119" spans="20:20" hidden="1" x14ac:dyDescent="0.25">
      <c r="T119" s="146"/>
    </row>
    <row r="120" spans="20:20" hidden="1" x14ac:dyDescent="0.25">
      <c r="T120" s="146"/>
    </row>
    <row r="121" spans="20:20" hidden="1" x14ac:dyDescent="0.25">
      <c r="T121" s="146"/>
    </row>
    <row r="122" spans="20:20" hidden="1" x14ac:dyDescent="0.25">
      <c r="T122" s="146"/>
    </row>
    <row r="123" spans="20:20" hidden="1" x14ac:dyDescent="0.25">
      <c r="T123" s="146"/>
    </row>
    <row r="124" spans="20:20" hidden="1" x14ac:dyDescent="0.25">
      <c r="T124" s="146"/>
    </row>
    <row r="125" spans="20:20" hidden="1" x14ac:dyDescent="0.25">
      <c r="T125" s="146"/>
    </row>
    <row r="126" spans="20:20" hidden="1" x14ac:dyDescent="0.25">
      <c r="T126" s="146"/>
    </row>
    <row r="127" spans="20:20" hidden="1" x14ac:dyDescent="0.25">
      <c r="T127" s="146"/>
    </row>
    <row r="128" spans="20:20" hidden="1" x14ac:dyDescent="0.25">
      <c r="T128" s="146"/>
    </row>
    <row r="129" spans="20:20" hidden="1" x14ac:dyDescent="0.25">
      <c r="T129" s="146"/>
    </row>
    <row r="130" spans="20:20" hidden="1" x14ac:dyDescent="0.25">
      <c r="T130" s="146"/>
    </row>
    <row r="131" spans="20:20" hidden="1" x14ac:dyDescent="0.25">
      <c r="T131" s="146"/>
    </row>
    <row r="132" spans="20:20" hidden="1" x14ac:dyDescent="0.25">
      <c r="T132" s="146"/>
    </row>
    <row r="133" spans="20:20" hidden="1" x14ac:dyDescent="0.25">
      <c r="T133" s="146"/>
    </row>
    <row r="134" spans="20:20" hidden="1" x14ac:dyDescent="0.25">
      <c r="T134" s="146"/>
    </row>
    <row r="135" spans="20:20" hidden="1" x14ac:dyDescent="0.25">
      <c r="T135" s="146"/>
    </row>
    <row r="136" spans="20:20" hidden="1" x14ac:dyDescent="0.25">
      <c r="T136" s="146"/>
    </row>
    <row r="137" spans="20:20" hidden="1" x14ac:dyDescent="0.25">
      <c r="T137" s="146"/>
    </row>
    <row r="138" spans="20:20" hidden="1" x14ac:dyDescent="0.25">
      <c r="T138" s="146"/>
    </row>
    <row r="139" spans="20:20" hidden="1" x14ac:dyDescent="0.25">
      <c r="T139" s="146"/>
    </row>
    <row r="140" spans="20:20" hidden="1" x14ac:dyDescent="0.25">
      <c r="T140" s="146"/>
    </row>
    <row r="141" spans="20:20" hidden="1" x14ac:dyDescent="0.25">
      <c r="T141" s="146"/>
    </row>
    <row r="142" spans="20:20" hidden="1" x14ac:dyDescent="0.25">
      <c r="T142" s="146"/>
    </row>
    <row r="143" spans="20:20" hidden="1" x14ac:dyDescent="0.25">
      <c r="T143" s="146"/>
    </row>
    <row r="144" spans="20:20" hidden="1" x14ac:dyDescent="0.25">
      <c r="T144" s="146"/>
    </row>
    <row r="145" spans="20:20" hidden="1" x14ac:dyDescent="0.25">
      <c r="T145" s="146"/>
    </row>
    <row r="146" spans="20:20" hidden="1" x14ac:dyDescent="0.25">
      <c r="T146" s="146"/>
    </row>
    <row r="147" spans="20:20" hidden="1" x14ac:dyDescent="0.25">
      <c r="T147" s="146"/>
    </row>
    <row r="148" spans="20:20" hidden="1" x14ac:dyDescent="0.25">
      <c r="T148" s="146"/>
    </row>
    <row r="149" spans="20:20" hidden="1" x14ac:dyDescent="0.25">
      <c r="T149" s="146"/>
    </row>
    <row r="150" spans="20:20" hidden="1" x14ac:dyDescent="0.25">
      <c r="T150" s="146"/>
    </row>
    <row r="151" spans="20:20" hidden="1" x14ac:dyDescent="0.25">
      <c r="T151" s="146"/>
    </row>
    <row r="152" spans="20:20" hidden="1" x14ac:dyDescent="0.25">
      <c r="T152" s="146"/>
    </row>
    <row r="153" spans="20:20" hidden="1" x14ac:dyDescent="0.25">
      <c r="T153" s="146"/>
    </row>
    <row r="154" spans="20:20" hidden="1" x14ac:dyDescent="0.25">
      <c r="T154" s="146"/>
    </row>
    <row r="155" spans="20:20" hidden="1" x14ac:dyDescent="0.25">
      <c r="T155" s="146"/>
    </row>
    <row r="156" spans="20:20" hidden="1" x14ac:dyDescent="0.25">
      <c r="T156" s="146"/>
    </row>
    <row r="157" spans="20:20" hidden="1" x14ac:dyDescent="0.25">
      <c r="T157" s="146"/>
    </row>
    <row r="158" spans="20:20" hidden="1" x14ac:dyDescent="0.25">
      <c r="T158" s="146"/>
    </row>
    <row r="159" spans="20:20" hidden="1" x14ac:dyDescent="0.25">
      <c r="T159" s="146"/>
    </row>
    <row r="160" spans="20:20" hidden="1" x14ac:dyDescent="0.25">
      <c r="T160" s="146"/>
    </row>
    <row r="161" spans="20:20" hidden="1" x14ac:dyDescent="0.25">
      <c r="T161" s="146"/>
    </row>
    <row r="162" spans="20:20" hidden="1" x14ac:dyDescent="0.25">
      <c r="T162" s="146"/>
    </row>
    <row r="163" spans="20:20" hidden="1" x14ac:dyDescent="0.25">
      <c r="T163" s="146"/>
    </row>
    <row r="164" spans="20:20" hidden="1" x14ac:dyDescent="0.25">
      <c r="T164" s="146"/>
    </row>
    <row r="165" spans="20:20" hidden="1" x14ac:dyDescent="0.25">
      <c r="T165" s="146"/>
    </row>
    <row r="166" spans="20:20" hidden="1" x14ac:dyDescent="0.25">
      <c r="T166" s="146"/>
    </row>
    <row r="167" spans="20:20" hidden="1" x14ac:dyDescent="0.25">
      <c r="T167" s="146"/>
    </row>
    <row r="168" spans="20:20" hidden="1" x14ac:dyDescent="0.25">
      <c r="T168" s="146"/>
    </row>
    <row r="169" spans="20:20" hidden="1" x14ac:dyDescent="0.25">
      <c r="T169" s="146"/>
    </row>
    <row r="170" spans="20:20" hidden="1" x14ac:dyDescent="0.25">
      <c r="T170" s="146"/>
    </row>
    <row r="171" spans="20:20" hidden="1" x14ac:dyDescent="0.25">
      <c r="T171" s="146"/>
    </row>
    <row r="172" spans="20:20" hidden="1" x14ac:dyDescent="0.25">
      <c r="T172" s="146"/>
    </row>
    <row r="173" spans="20:20" hidden="1" x14ac:dyDescent="0.25">
      <c r="T173" s="146"/>
    </row>
    <row r="174" spans="20:20" hidden="1" x14ac:dyDescent="0.25">
      <c r="T174" s="146"/>
    </row>
    <row r="175" spans="20:20" hidden="1" x14ac:dyDescent="0.25">
      <c r="T175" s="146"/>
    </row>
    <row r="176" spans="20:20" hidden="1" x14ac:dyDescent="0.25">
      <c r="T176" s="146"/>
    </row>
    <row r="177" spans="20:20" hidden="1" x14ac:dyDescent="0.25">
      <c r="T177" s="146"/>
    </row>
    <row r="178" spans="20:20" hidden="1" x14ac:dyDescent="0.25">
      <c r="T178" s="146"/>
    </row>
    <row r="179" spans="20:20" hidden="1" x14ac:dyDescent="0.25">
      <c r="T179" s="146"/>
    </row>
    <row r="180" spans="20:20" hidden="1" x14ac:dyDescent="0.25">
      <c r="T180" s="146"/>
    </row>
    <row r="181" spans="20:20" hidden="1" x14ac:dyDescent="0.25">
      <c r="T181" s="146"/>
    </row>
    <row r="182" spans="20:20" hidden="1" x14ac:dyDescent="0.25">
      <c r="T182" s="146"/>
    </row>
    <row r="183" spans="20:20" hidden="1" x14ac:dyDescent="0.25">
      <c r="T183" s="146"/>
    </row>
    <row r="184" spans="20:20" hidden="1" x14ac:dyDescent="0.25">
      <c r="T184" s="146"/>
    </row>
    <row r="185" spans="20:20" hidden="1" x14ac:dyDescent="0.25">
      <c r="T185" s="146"/>
    </row>
    <row r="186" spans="20:20" hidden="1" x14ac:dyDescent="0.25">
      <c r="T186" s="146"/>
    </row>
    <row r="187" spans="20:20" hidden="1" x14ac:dyDescent="0.25">
      <c r="T187" s="146"/>
    </row>
    <row r="188" spans="20:20" hidden="1" x14ac:dyDescent="0.25">
      <c r="T188" s="146"/>
    </row>
    <row r="189" spans="20:20" hidden="1" x14ac:dyDescent="0.25">
      <c r="T189" s="146"/>
    </row>
    <row r="190" spans="20:20" hidden="1" x14ac:dyDescent="0.25">
      <c r="T190" s="146"/>
    </row>
    <row r="191" spans="20:20" hidden="1" x14ac:dyDescent="0.25">
      <c r="T191" s="146"/>
    </row>
    <row r="192" spans="20:20" hidden="1" x14ac:dyDescent="0.25">
      <c r="T192" s="146"/>
    </row>
    <row r="193" spans="20:20" hidden="1" x14ac:dyDescent="0.25">
      <c r="T193" s="146"/>
    </row>
    <row r="194" spans="20:20" hidden="1" x14ac:dyDescent="0.25">
      <c r="T194" s="146"/>
    </row>
    <row r="195" spans="20:20" hidden="1" x14ac:dyDescent="0.25">
      <c r="T195" s="146"/>
    </row>
    <row r="196" spans="20:20" hidden="1" x14ac:dyDescent="0.25">
      <c r="T196" s="146"/>
    </row>
    <row r="197" spans="20:20" hidden="1" x14ac:dyDescent="0.25">
      <c r="T197" s="146"/>
    </row>
    <row r="198" spans="20:20" hidden="1" x14ac:dyDescent="0.25">
      <c r="T198" s="146"/>
    </row>
    <row r="199" spans="20:20" hidden="1" x14ac:dyDescent="0.25">
      <c r="T199" s="146"/>
    </row>
    <row r="200" spans="20:20" hidden="1" x14ac:dyDescent="0.25">
      <c r="T200" s="146"/>
    </row>
    <row r="201" spans="20:20" hidden="1" x14ac:dyDescent="0.25">
      <c r="T201" s="146"/>
    </row>
    <row r="202" spans="20:20" hidden="1" x14ac:dyDescent="0.25">
      <c r="T202" s="146"/>
    </row>
    <row r="203" spans="20:20" hidden="1" x14ac:dyDescent="0.25">
      <c r="T203" s="146"/>
    </row>
    <row r="204" spans="20:20" hidden="1" x14ac:dyDescent="0.25">
      <c r="T204" s="146"/>
    </row>
    <row r="205" spans="20:20" hidden="1" x14ac:dyDescent="0.25">
      <c r="T205" s="146"/>
    </row>
    <row r="206" spans="20:20" hidden="1" x14ac:dyDescent="0.25">
      <c r="T206" s="146"/>
    </row>
    <row r="207" spans="20:20" hidden="1" x14ac:dyDescent="0.25">
      <c r="T207" s="146"/>
    </row>
    <row r="208" spans="20:20" hidden="1" x14ac:dyDescent="0.25">
      <c r="T208" s="146"/>
    </row>
    <row r="209" spans="20:20" hidden="1" x14ac:dyDescent="0.25">
      <c r="T209" s="146"/>
    </row>
    <row r="210" spans="20:20" hidden="1" x14ac:dyDescent="0.25">
      <c r="T210" s="146"/>
    </row>
    <row r="211" spans="20:20" hidden="1" x14ac:dyDescent="0.25">
      <c r="T211" s="146"/>
    </row>
    <row r="212" spans="20:20" hidden="1" x14ac:dyDescent="0.25">
      <c r="T212" s="146"/>
    </row>
    <row r="213" spans="20:20" hidden="1" x14ac:dyDescent="0.25">
      <c r="T213" s="146"/>
    </row>
    <row r="214" spans="20:20" hidden="1" x14ac:dyDescent="0.25">
      <c r="T214" s="146"/>
    </row>
    <row r="215" spans="20:20" hidden="1" x14ac:dyDescent="0.25">
      <c r="T215" s="146"/>
    </row>
    <row r="216" spans="20:20" hidden="1" x14ac:dyDescent="0.25">
      <c r="T216" s="146"/>
    </row>
    <row r="217" spans="20:20" hidden="1" x14ac:dyDescent="0.25">
      <c r="T217" s="146"/>
    </row>
    <row r="218" spans="20:20" hidden="1" x14ac:dyDescent="0.25">
      <c r="T218" s="146"/>
    </row>
    <row r="219" spans="20:20" hidden="1" x14ac:dyDescent="0.25">
      <c r="T219" s="146"/>
    </row>
    <row r="220" spans="20:20" hidden="1" x14ac:dyDescent="0.25">
      <c r="T220" s="146"/>
    </row>
    <row r="221" spans="20:20" hidden="1" x14ac:dyDescent="0.25">
      <c r="T221" s="146"/>
    </row>
    <row r="222" spans="20:20" hidden="1" x14ac:dyDescent="0.25">
      <c r="T222" s="146"/>
    </row>
    <row r="223" spans="20:20" hidden="1" x14ac:dyDescent="0.25">
      <c r="T223" s="146"/>
    </row>
    <row r="224" spans="20:20" hidden="1" x14ac:dyDescent="0.25">
      <c r="T224" s="146"/>
    </row>
    <row r="225" spans="20:20" hidden="1" x14ac:dyDescent="0.25">
      <c r="T225" s="146"/>
    </row>
    <row r="226" spans="20:20" hidden="1" x14ac:dyDescent="0.25">
      <c r="T226" s="146"/>
    </row>
    <row r="227" spans="20:20" hidden="1" x14ac:dyDescent="0.25">
      <c r="T227" s="146"/>
    </row>
    <row r="228" spans="20:20" hidden="1" x14ac:dyDescent="0.25">
      <c r="T228" s="146"/>
    </row>
    <row r="229" spans="20:20" hidden="1" x14ac:dyDescent="0.25">
      <c r="T229" s="146"/>
    </row>
    <row r="230" spans="20:20" hidden="1" x14ac:dyDescent="0.25">
      <c r="T230" s="146"/>
    </row>
    <row r="231" spans="20:20" hidden="1" x14ac:dyDescent="0.25">
      <c r="T231" s="146"/>
    </row>
    <row r="232" spans="20:20" hidden="1" x14ac:dyDescent="0.25">
      <c r="T232" s="146"/>
    </row>
    <row r="233" spans="20:20" hidden="1" x14ac:dyDescent="0.25">
      <c r="T233" s="146"/>
    </row>
    <row r="234" spans="20:20" hidden="1" x14ac:dyDescent="0.25">
      <c r="T234" s="146"/>
    </row>
    <row r="235" spans="20:20" hidden="1" x14ac:dyDescent="0.25">
      <c r="T235" s="146"/>
    </row>
    <row r="236" spans="20:20" hidden="1" x14ac:dyDescent="0.25">
      <c r="T236" s="146"/>
    </row>
    <row r="237" spans="20:20" hidden="1" x14ac:dyDescent="0.25">
      <c r="T237" s="146"/>
    </row>
    <row r="238" spans="20:20" hidden="1" x14ac:dyDescent="0.25">
      <c r="T238" s="146"/>
    </row>
    <row r="239" spans="20:20" hidden="1" x14ac:dyDescent="0.25">
      <c r="T239" s="146"/>
    </row>
    <row r="240" spans="20:20" hidden="1" x14ac:dyDescent="0.25">
      <c r="T240" s="146"/>
    </row>
    <row r="241" spans="20:20" hidden="1" x14ac:dyDescent="0.25">
      <c r="T241" s="146"/>
    </row>
    <row r="242" spans="20:20" hidden="1" x14ac:dyDescent="0.25">
      <c r="T242" s="146"/>
    </row>
    <row r="243" spans="20:20" hidden="1" x14ac:dyDescent="0.25">
      <c r="T243" s="146"/>
    </row>
    <row r="244" spans="20:20" hidden="1" x14ac:dyDescent="0.25">
      <c r="T244" s="146"/>
    </row>
    <row r="245" spans="20:20" hidden="1" x14ac:dyDescent="0.25">
      <c r="T245" s="146"/>
    </row>
    <row r="246" spans="20:20" hidden="1" x14ac:dyDescent="0.25">
      <c r="T246" s="146"/>
    </row>
    <row r="247" spans="20:20" hidden="1" x14ac:dyDescent="0.25">
      <c r="T247" s="146"/>
    </row>
    <row r="248" spans="20:20" hidden="1" x14ac:dyDescent="0.25">
      <c r="T248" s="146"/>
    </row>
    <row r="249" spans="20:20" hidden="1" x14ac:dyDescent="0.25">
      <c r="T249" s="146"/>
    </row>
    <row r="250" spans="20:20" hidden="1" x14ac:dyDescent="0.25">
      <c r="T250" s="146"/>
    </row>
    <row r="251" spans="20:20" hidden="1" x14ac:dyDescent="0.25">
      <c r="T251" s="146"/>
    </row>
    <row r="252" spans="20:20" hidden="1" x14ac:dyDescent="0.25">
      <c r="T252" s="146"/>
    </row>
    <row r="253" spans="20:20" hidden="1" x14ac:dyDescent="0.25">
      <c r="T253" s="146"/>
    </row>
    <row r="254" spans="20:20" hidden="1" x14ac:dyDescent="0.25">
      <c r="T254" s="146"/>
    </row>
    <row r="256" spans="20:20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</sheetData>
  <sheetProtection selectLockedCells="1"/>
  <protectedRanges>
    <protectedRange sqref="J44:L50 J67:L79 J52:L64 J17:L41" name="Diapazonas3"/>
    <protectedRange sqref="E9:F9 K9:O9 K11:L11" name="Diapazonas1"/>
    <protectedRange sqref="T47:V50 Z47:AC50 T51:AC79 T17:AC46" name="Diapazonas4"/>
    <protectedRange sqref="W47:W50" name="Diapazonas4_1"/>
    <protectedRange sqref="X47:X50" name="Diapazonas4_2"/>
    <protectedRange sqref="Y47:Y50" name="Diapazonas4_3"/>
  </protectedRanges>
  <mergeCells count="134">
    <mergeCell ref="E19:F19"/>
    <mergeCell ref="C17:C18"/>
    <mergeCell ref="D17:D18"/>
    <mergeCell ref="E17:F17"/>
    <mergeCell ref="E18:F18"/>
    <mergeCell ref="E26:F26"/>
    <mergeCell ref="B17:B38"/>
    <mergeCell ref="E21:F21"/>
    <mergeCell ref="C20:C21"/>
    <mergeCell ref="C22:C23"/>
    <mergeCell ref="D28:D37"/>
    <mergeCell ref="C28:C37"/>
    <mergeCell ref="C25:C27"/>
    <mergeCell ref="D25:D27"/>
    <mergeCell ref="D22:D23"/>
    <mergeCell ref="E34:F34"/>
    <mergeCell ref="D20:D21"/>
    <mergeCell ref="E23:F23"/>
    <mergeCell ref="E29:F29"/>
    <mergeCell ref="P73:R73"/>
    <mergeCell ref="E71:F71"/>
    <mergeCell ref="P70:R70"/>
    <mergeCell ref="P68:R69"/>
    <mergeCell ref="E68:F68"/>
    <mergeCell ref="E73:F73"/>
    <mergeCell ref="D61:F61"/>
    <mergeCell ref="D62:F62"/>
    <mergeCell ref="P72:R72"/>
    <mergeCell ref="D54:F54"/>
    <mergeCell ref="D53:F53"/>
    <mergeCell ref="C66:M66"/>
    <mergeCell ref="C72:C74"/>
    <mergeCell ref="D63:F63"/>
    <mergeCell ref="E72:F72"/>
    <mergeCell ref="D47:D49"/>
    <mergeCell ref="E48:F48"/>
    <mergeCell ref="E49:F49"/>
    <mergeCell ref="Y47:Y49"/>
    <mergeCell ref="D56:F56"/>
    <mergeCell ref="E46:F46"/>
    <mergeCell ref="D55:F55"/>
    <mergeCell ref="P47:R49"/>
    <mergeCell ref="X47:X49"/>
    <mergeCell ref="D44:D46"/>
    <mergeCell ref="P78:R78"/>
    <mergeCell ref="P71:R71"/>
    <mergeCell ref="E75:F75"/>
    <mergeCell ref="P77:R77"/>
    <mergeCell ref="P76:R76"/>
    <mergeCell ref="E70:F70"/>
    <mergeCell ref="P75:R75"/>
    <mergeCell ref="P74:R74"/>
    <mergeCell ref="P67:R67"/>
    <mergeCell ref="D72:D74"/>
    <mergeCell ref="E77:F77"/>
    <mergeCell ref="E76:F76"/>
    <mergeCell ref="E74:F74"/>
    <mergeCell ref="E44:F44"/>
    <mergeCell ref="P44:R46"/>
    <mergeCell ref="D57:F57"/>
    <mergeCell ref="D52:F52"/>
    <mergeCell ref="P19:R19"/>
    <mergeCell ref="B96:N96"/>
    <mergeCell ref="C43:N43"/>
    <mergeCell ref="E78:F78"/>
    <mergeCell ref="E67:F67"/>
    <mergeCell ref="B82:D82"/>
    <mergeCell ref="C68:C69"/>
    <mergeCell ref="D68:D69"/>
    <mergeCell ref="E69:F69"/>
    <mergeCell ref="D60:F60"/>
    <mergeCell ref="C44:C46"/>
    <mergeCell ref="C47:C49"/>
    <mergeCell ref="D58:F58"/>
    <mergeCell ref="I92:N92"/>
    <mergeCell ref="I91:N91"/>
    <mergeCell ref="D59:F59"/>
    <mergeCell ref="M44:N44"/>
    <mergeCell ref="P20:R21"/>
    <mergeCell ref="M21:N21"/>
    <mergeCell ref="E20:F20"/>
    <mergeCell ref="B84:D84"/>
    <mergeCell ref="C51:M51"/>
    <mergeCell ref="E39:F39"/>
    <mergeCell ref="E22:F22"/>
    <mergeCell ref="B5:N5"/>
    <mergeCell ref="C15:C16"/>
    <mergeCell ref="D15:D16"/>
    <mergeCell ref="G15:G16"/>
    <mergeCell ref="E9:F9"/>
    <mergeCell ref="B6:N7"/>
    <mergeCell ref="J9:N9"/>
    <mergeCell ref="J11:N11"/>
    <mergeCell ref="AC15:AC16"/>
    <mergeCell ref="X15:X16"/>
    <mergeCell ref="Y15:Y16"/>
    <mergeCell ref="Z15:Z16"/>
    <mergeCell ref="AB15:AB16"/>
    <mergeCell ref="AA15:AA16"/>
    <mergeCell ref="W15:W16"/>
    <mergeCell ref="J15:J16"/>
    <mergeCell ref="E15:F16"/>
    <mergeCell ref="P17:R18"/>
    <mergeCell ref="K15:L15"/>
    <mergeCell ref="V15:V16"/>
    <mergeCell ref="M15:M16"/>
    <mergeCell ref="N15:N16"/>
    <mergeCell ref="H15:H16"/>
    <mergeCell ref="I15:I16"/>
    <mergeCell ref="U15:U16"/>
    <mergeCell ref="T15:T16"/>
    <mergeCell ref="P22:R23"/>
    <mergeCell ref="E27:F27"/>
    <mergeCell ref="E24:F24"/>
    <mergeCell ref="M45:N45"/>
    <mergeCell ref="M46:N46"/>
    <mergeCell ref="E40:F40"/>
    <mergeCell ref="E25:F25"/>
    <mergeCell ref="E47:F47"/>
    <mergeCell ref="E38:F38"/>
    <mergeCell ref="E28:F28"/>
    <mergeCell ref="E37:F37"/>
    <mergeCell ref="E45:F45"/>
    <mergeCell ref="E31:F31"/>
    <mergeCell ref="P25:R27"/>
    <mergeCell ref="P28:R37"/>
    <mergeCell ref="P24:R24"/>
    <mergeCell ref="E32:F32"/>
    <mergeCell ref="E30:F30"/>
    <mergeCell ref="P38:R41"/>
    <mergeCell ref="E35:F35"/>
    <mergeCell ref="E36:F36"/>
    <mergeCell ref="E33:F33"/>
    <mergeCell ref="E41:F41"/>
  </mergeCells>
  <phoneticPr fontId="1" type="noConversion"/>
  <conditionalFormatting sqref="E23:E27 G23:I32 J28:J32 K44:L50 G20:I21 K20:L32 E17:E18 K18:L18 G17:I18 K67:L79 J52:L63 K37:L41 J37 G37:I41 G34:L34 E37">
    <cfRule type="expression" dxfId="64" priority="49" stopIfTrue="1">
      <formula>$W17=1</formula>
    </cfRule>
  </conditionalFormatting>
  <conditionalFormatting sqref="E44:F46">
    <cfRule type="expression" dxfId="63" priority="50" stopIfTrue="1">
      <formula>$W44*$X44=1</formula>
    </cfRule>
  </conditionalFormatting>
  <conditionalFormatting sqref="D55:D63">
    <cfRule type="expression" dxfId="62" priority="51" stopIfTrue="1">
      <formula>$W55=1</formula>
    </cfRule>
  </conditionalFormatting>
  <conditionalFormatting sqref="R7">
    <cfRule type="expression" dxfId="61" priority="52" stopIfTrue="1">
      <formula>Q7&lt;8</formula>
    </cfRule>
  </conditionalFormatting>
  <conditionalFormatting sqref="R11 R9">
    <cfRule type="expression" dxfId="60" priority="53" stopIfTrue="1">
      <formula>OR(Q9&lt;28,Q9&gt;35)</formula>
    </cfRule>
  </conditionalFormatting>
  <conditionalFormatting sqref="E28">
    <cfRule type="expression" dxfId="59" priority="54" stopIfTrue="1">
      <formula>$W28=1</formula>
    </cfRule>
  </conditionalFormatting>
  <conditionalFormatting sqref="E70:F72 E69 E75:F79 E73:E74 E67:F68">
    <cfRule type="expression" dxfId="58" priority="55" stopIfTrue="1">
      <formula>$AA67=2</formula>
    </cfRule>
  </conditionalFormatting>
  <conditionalFormatting sqref="F84 F80 F82">
    <cfRule type="expression" dxfId="57" priority="56" stopIfTrue="1">
      <formula>#REF!=0</formula>
    </cfRule>
    <cfRule type="expression" dxfId="56" priority="57" stopIfTrue="1">
      <formula>#REF!=1</formula>
    </cfRule>
  </conditionalFormatting>
  <conditionalFormatting sqref="E80 Q7">
    <cfRule type="cellIs" dxfId="55" priority="58" stopIfTrue="1" operator="lessThan">
      <formula>8</formula>
    </cfRule>
  </conditionalFormatting>
  <conditionalFormatting sqref="E82 E84 Q9 Q11">
    <cfRule type="cellIs" dxfId="54" priority="59" stopIfTrue="1" operator="notBetween">
      <formula>28</formula>
      <formula>35</formula>
    </cfRule>
  </conditionalFormatting>
  <conditionalFormatting sqref="G67:I79">
    <cfRule type="expression" dxfId="53" priority="60" stopIfTrue="1">
      <formula>$W$44*$X$44=1</formula>
    </cfRule>
    <cfRule type="expression" dxfId="52" priority="61" stopIfTrue="1">
      <formula>$Y$44=2</formula>
    </cfRule>
  </conditionalFormatting>
  <conditionalFormatting sqref="E42:I42">
    <cfRule type="expression" dxfId="51" priority="62" stopIfTrue="1">
      <formula>#REF!*#REF!=1</formula>
    </cfRule>
  </conditionalFormatting>
  <conditionalFormatting sqref="P38:S41">
    <cfRule type="cellIs" dxfId="50" priority="63" stopIfTrue="1" operator="equal">
      <formula>"Privaloma pasirinkti vieną kūno kultūros dalyką"</formula>
    </cfRule>
  </conditionalFormatting>
  <conditionalFormatting sqref="D38">
    <cfRule type="expression" dxfId="49" priority="64" stopIfTrue="1">
      <formula>$X$38=0</formula>
    </cfRule>
  </conditionalFormatting>
  <conditionalFormatting sqref="G44:I50">
    <cfRule type="expression" dxfId="48" priority="65" stopIfTrue="1">
      <formula>$W$44*$X$44=1</formula>
    </cfRule>
  </conditionalFormatting>
  <conditionalFormatting sqref="J20:J21">
    <cfRule type="expression" dxfId="47" priority="66" stopIfTrue="1">
      <formula>$W$21*$X$21=1</formula>
    </cfRule>
  </conditionalFormatting>
  <conditionalFormatting sqref="J22:J23">
    <cfRule type="expression" dxfId="46" priority="68" stopIfTrue="1">
      <formula>$W$23=1</formula>
    </cfRule>
  </conditionalFormatting>
  <conditionalFormatting sqref="P22:S23">
    <cfRule type="cellIs" dxfId="45" priority="69" stopIfTrue="1" operator="equal">
      <formula>"Privaloma pasirinkti bent vieną iš socialinių mokslų."</formula>
    </cfRule>
  </conditionalFormatting>
  <conditionalFormatting sqref="P24 S24">
    <cfRule type="cellIs" dxfId="44" priority="71" stopIfTrue="1" operator="equal">
      <formula>"Privaloma pasirinkti matematikos A arba B kursą"</formula>
    </cfRule>
  </conditionalFormatting>
  <conditionalFormatting sqref="D24">
    <cfRule type="expression" dxfId="43" priority="72" stopIfTrue="1">
      <formula>$W$24=0</formula>
    </cfRule>
  </conditionalFormatting>
  <conditionalFormatting sqref="P25:S27">
    <cfRule type="cellIs" dxfId="42" priority="73" stopIfTrue="1" operator="equal">
      <formula>"Privaloma pasirinkti bent vieną iš gamtos mokslų"</formula>
    </cfRule>
  </conditionalFormatting>
  <conditionalFormatting sqref="D25">
    <cfRule type="expression" dxfId="41" priority="74" stopIfTrue="1">
      <formula>$X$25=0</formula>
    </cfRule>
  </conditionalFormatting>
  <conditionalFormatting sqref="S28:S32 S37 S34">
    <cfRule type="cellIs" dxfId="40" priority="75" stopIfTrue="1" operator="equal">
      <formula>"Privaloma pasirinkti vieną menų arba technologijų dalyką"</formula>
    </cfRule>
  </conditionalFormatting>
  <conditionalFormatting sqref="J18">
    <cfRule type="expression" dxfId="39" priority="76" stopIfTrue="1">
      <formula>$W$18=1</formula>
    </cfRule>
  </conditionalFormatting>
  <conditionalFormatting sqref="J17:L17">
    <cfRule type="expression" dxfId="38" priority="79" stopIfTrue="1">
      <formula>$W$17=1</formula>
    </cfRule>
  </conditionalFormatting>
  <conditionalFormatting sqref="P17:S18">
    <cfRule type="cellIs" dxfId="37" priority="80" stopIfTrue="1" operator="equal">
      <formula>"Privaloma pasirinkti vieną dorinio ugdymo dalyką"</formula>
    </cfRule>
  </conditionalFormatting>
  <conditionalFormatting sqref="S19">
    <cfRule type="cellIs" dxfId="36" priority="81" stopIfTrue="1" operator="equal">
      <formula>"Privaloma pasirinkti lietuvių k. B arba A kursą. A kursą galima rinktis 5 arba 6 val."</formula>
    </cfRule>
  </conditionalFormatting>
  <conditionalFormatting sqref="D17">
    <cfRule type="expression" dxfId="35" priority="83" stopIfTrue="1">
      <formula>$X$17=0</formula>
    </cfRule>
  </conditionalFormatting>
  <conditionalFormatting sqref="P20:S21">
    <cfRule type="cellIs" dxfId="34" priority="85" stopIfTrue="1" operator="equal">
      <formula>"Privaloma pasirinkti užsienio kalbą."</formula>
    </cfRule>
  </conditionalFormatting>
  <conditionalFormatting sqref="D28">
    <cfRule type="expression" dxfId="33" priority="87" stopIfTrue="1">
      <formula>SUM(W28:W37)=0</formula>
    </cfRule>
  </conditionalFormatting>
  <conditionalFormatting sqref="E9">
    <cfRule type="cellIs" dxfId="32" priority="88" stopIfTrue="1" operator="equal">
      <formula>""</formula>
    </cfRule>
  </conditionalFormatting>
  <conditionalFormatting sqref="E47">
    <cfRule type="expression" dxfId="31" priority="44" stopIfTrue="1">
      <formula>$W47*$X47=1</formula>
    </cfRule>
  </conditionalFormatting>
  <conditionalFormatting sqref="P28">
    <cfRule type="cellIs" dxfId="30" priority="39" stopIfTrue="1" operator="equal">
      <formula>"Privaloma pasirinkti bent vieną iš menų ir technologijų mokslų"</formula>
    </cfRule>
  </conditionalFormatting>
  <conditionalFormatting sqref="E29:E32">
    <cfRule type="expression" dxfId="29" priority="38" stopIfTrue="1">
      <formula>$W29=1</formula>
    </cfRule>
  </conditionalFormatting>
  <conditionalFormatting sqref="E34">
    <cfRule type="expression" dxfId="28" priority="37" stopIfTrue="1">
      <formula>$W34=1</formula>
    </cfRule>
  </conditionalFormatting>
  <conditionalFormatting sqref="E38:E41">
    <cfRule type="expression" dxfId="27" priority="36" stopIfTrue="1">
      <formula>$W38=1</formula>
    </cfRule>
  </conditionalFormatting>
  <conditionalFormatting sqref="E48:E50">
    <cfRule type="expression" dxfId="26" priority="35" stopIfTrue="1">
      <formula>$W48*$X$47=1</formula>
    </cfRule>
  </conditionalFormatting>
  <conditionalFormatting sqref="E21:F21">
    <cfRule type="expression" dxfId="25" priority="32" stopIfTrue="1">
      <formula>$W21=1</formula>
    </cfRule>
  </conditionalFormatting>
  <conditionalFormatting sqref="J9:N9">
    <cfRule type="cellIs" dxfId="24" priority="29" stopIfTrue="1" operator="equal">
      <formula>""</formula>
    </cfRule>
  </conditionalFormatting>
  <conditionalFormatting sqref="J11:N11">
    <cfRule type="cellIs" dxfId="23" priority="28" stopIfTrue="1" operator="equal">
      <formula>""</formula>
    </cfRule>
  </conditionalFormatting>
  <conditionalFormatting sqref="E22">
    <cfRule type="expression" dxfId="22" priority="24" stopIfTrue="1">
      <formula>$W22=1</formula>
    </cfRule>
  </conditionalFormatting>
  <conditionalFormatting sqref="E20:F20">
    <cfRule type="expression" dxfId="21" priority="23" stopIfTrue="1">
      <formula>$W20=1</formula>
    </cfRule>
  </conditionalFormatting>
  <conditionalFormatting sqref="D20">
    <cfRule type="expression" dxfId="20" priority="21" stopIfTrue="1">
      <formula>$X$20=0</formula>
    </cfRule>
  </conditionalFormatting>
  <conditionalFormatting sqref="D22">
    <cfRule type="expression" dxfId="19" priority="20" stopIfTrue="1">
      <formula>AND($X$22=0,$X$23=0)</formula>
    </cfRule>
  </conditionalFormatting>
  <conditionalFormatting sqref="M50">
    <cfRule type="expression" dxfId="18" priority="19" stopIfTrue="1">
      <formula>$W50=1</formula>
    </cfRule>
  </conditionalFormatting>
  <conditionalFormatting sqref="G19:I19">
    <cfRule type="expression" dxfId="17" priority="90" stopIfTrue="1">
      <formula>#REF!=1</formula>
    </cfRule>
  </conditionalFormatting>
  <conditionalFormatting sqref="K19:L19">
    <cfRule type="expression" dxfId="16" priority="17" stopIfTrue="1">
      <formula>$W19=1</formula>
    </cfRule>
  </conditionalFormatting>
  <conditionalFormatting sqref="P19">
    <cfRule type="cellIs" dxfId="15" priority="15" stopIfTrue="1" operator="equal">
      <formula>"Privaloma pasirinkti lietuvių kalbos A arba B kursą"</formula>
    </cfRule>
  </conditionalFormatting>
  <conditionalFormatting sqref="D19">
    <cfRule type="expression" dxfId="14" priority="14" stopIfTrue="1">
      <formula>$W$19=0</formula>
    </cfRule>
  </conditionalFormatting>
  <conditionalFormatting sqref="E19">
    <cfRule type="expression" dxfId="13" priority="13" stopIfTrue="1">
      <formula>$W19=1</formula>
    </cfRule>
  </conditionalFormatting>
  <conditionalFormatting sqref="D52:D54">
    <cfRule type="expression" dxfId="12" priority="11" stopIfTrue="1">
      <formula>$W52=1</formula>
    </cfRule>
  </conditionalFormatting>
  <conditionalFormatting sqref="G35:L35">
    <cfRule type="expression" dxfId="11" priority="9" stopIfTrue="1">
      <formula>$W35=1</formula>
    </cfRule>
  </conditionalFormatting>
  <conditionalFormatting sqref="S35">
    <cfRule type="cellIs" dxfId="10" priority="10" stopIfTrue="1" operator="equal">
      <formula>"Privaloma pasirinkti vieną menų arba technologijų dalyką"</formula>
    </cfRule>
  </conditionalFormatting>
  <conditionalFormatting sqref="E35">
    <cfRule type="expression" dxfId="9" priority="8" stopIfTrue="1">
      <formula>$W35=1</formula>
    </cfRule>
  </conditionalFormatting>
  <conditionalFormatting sqref="G36:L36">
    <cfRule type="expression" dxfId="8" priority="6" stopIfTrue="1">
      <formula>$W36=1</formula>
    </cfRule>
  </conditionalFormatting>
  <conditionalFormatting sqref="S36">
    <cfRule type="cellIs" dxfId="7" priority="7" stopIfTrue="1" operator="equal">
      <formula>"Privaloma pasirinkti vieną menų arba technologijų dalyką"</formula>
    </cfRule>
  </conditionalFormatting>
  <conditionalFormatting sqref="E36">
    <cfRule type="expression" dxfId="6" priority="5" stopIfTrue="1">
      <formula>$W36=1</formula>
    </cfRule>
  </conditionalFormatting>
  <conditionalFormatting sqref="G33:L33">
    <cfRule type="expression" dxfId="5" priority="3" stopIfTrue="1">
      <formula>$W33=1</formula>
    </cfRule>
  </conditionalFormatting>
  <conditionalFormatting sqref="S33">
    <cfRule type="cellIs" dxfId="4" priority="4" stopIfTrue="1" operator="equal">
      <formula>"Privaloma pasirinkti vieną menų arba technologijų dalyką"</formula>
    </cfRule>
  </conditionalFormatting>
  <conditionalFormatting sqref="E33">
    <cfRule type="expression" dxfId="3" priority="2" stopIfTrue="1">
      <formula>$W33=1</formula>
    </cfRule>
  </conditionalFormatting>
  <conditionalFormatting sqref="N53:P53">
    <cfRule type="cellIs" dxfId="2" priority="1" stopIfTrue="1" operator="equal">
      <formula>"Privaloma pasirinkti bent vieną iš menų ir technologijų mokslų"</formula>
    </cfRule>
  </conditionalFormatting>
  <pageMargins left="0.78740157480314965" right="0.19685039370078741" top="0.55118110236220474" bottom="0" header="0" footer="0"/>
  <pageSetup paperSize="9" scale="68" orientation="portrait" r:id="rId1"/>
  <headerFooter alignWithMargins="0"/>
  <rowBreaks count="2" manualBreakCount="2">
    <brk id="42" max="14" man="1"/>
    <brk id="9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37</xdr:row>
                    <xdr:rowOff>30480</xdr:rowOff>
                  </from>
                  <to>
                    <xdr:col>12</xdr:col>
                    <xdr:colOff>327660</xdr:colOff>
                    <xdr:row>37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38</xdr:row>
                    <xdr:rowOff>22860</xdr:rowOff>
                  </from>
                  <to>
                    <xdr:col>12</xdr:col>
                    <xdr:colOff>327660</xdr:colOff>
                    <xdr:row>38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39</xdr:row>
                    <xdr:rowOff>30480</xdr:rowOff>
                  </from>
                  <to>
                    <xdr:col>12</xdr:col>
                    <xdr:colOff>327660</xdr:colOff>
                    <xdr:row>39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40</xdr:row>
                    <xdr:rowOff>30480</xdr:rowOff>
                  </from>
                  <to>
                    <xdr:col>12</xdr:col>
                    <xdr:colOff>327660</xdr:colOff>
                    <xdr:row>40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Check Box 17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27</xdr:row>
                    <xdr:rowOff>38100</xdr:rowOff>
                  </from>
                  <to>
                    <xdr:col>12</xdr:col>
                    <xdr:colOff>327660</xdr:colOff>
                    <xdr:row>27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28</xdr:row>
                    <xdr:rowOff>30480</xdr:rowOff>
                  </from>
                  <to>
                    <xdr:col>12</xdr:col>
                    <xdr:colOff>327660</xdr:colOff>
                    <xdr:row>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31</xdr:row>
                    <xdr:rowOff>30480</xdr:rowOff>
                  </from>
                  <to>
                    <xdr:col>12</xdr:col>
                    <xdr:colOff>327660</xdr:colOff>
                    <xdr:row>31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29</xdr:row>
                    <xdr:rowOff>30480</xdr:rowOff>
                  </from>
                  <to>
                    <xdr:col>12</xdr:col>
                    <xdr:colOff>327660</xdr:colOff>
                    <xdr:row>29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30</xdr:row>
                    <xdr:rowOff>68580</xdr:rowOff>
                  </from>
                  <to>
                    <xdr:col>12</xdr:col>
                    <xdr:colOff>327660</xdr:colOff>
                    <xdr:row>30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3" name="Check Box 37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33</xdr:row>
                    <xdr:rowOff>38100</xdr:rowOff>
                  </from>
                  <to>
                    <xdr:col>12</xdr:col>
                    <xdr:colOff>327660</xdr:colOff>
                    <xdr:row>33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4" name="Check Box 70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36</xdr:row>
                    <xdr:rowOff>30480</xdr:rowOff>
                  </from>
                  <to>
                    <xdr:col>12</xdr:col>
                    <xdr:colOff>327660</xdr:colOff>
                    <xdr:row>36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5" name="Check Box 31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54</xdr:row>
                    <xdr:rowOff>45720</xdr:rowOff>
                  </from>
                  <to>
                    <xdr:col>12</xdr:col>
                    <xdr:colOff>365760</xdr:colOff>
                    <xdr:row>54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6" name="Check Box 32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57</xdr:row>
                    <xdr:rowOff>38100</xdr:rowOff>
                  </from>
                  <to>
                    <xdr:col>12</xdr:col>
                    <xdr:colOff>365760</xdr:colOff>
                    <xdr:row>57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7" name="Check Box 33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58</xdr:row>
                    <xdr:rowOff>38100</xdr:rowOff>
                  </from>
                  <to>
                    <xdr:col>12</xdr:col>
                    <xdr:colOff>365760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55</xdr:row>
                    <xdr:rowOff>60960</xdr:rowOff>
                  </from>
                  <to>
                    <xdr:col>12</xdr:col>
                    <xdr:colOff>365760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9" name="Check Box 62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56</xdr:row>
                    <xdr:rowOff>38100</xdr:rowOff>
                  </from>
                  <to>
                    <xdr:col>12</xdr:col>
                    <xdr:colOff>365760</xdr:colOff>
                    <xdr:row>56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59</xdr:row>
                    <xdr:rowOff>38100</xdr:rowOff>
                  </from>
                  <to>
                    <xdr:col>12</xdr:col>
                    <xdr:colOff>365760</xdr:colOff>
                    <xdr:row>59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21" name="Check Box 227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60</xdr:row>
                    <xdr:rowOff>30480</xdr:rowOff>
                  </from>
                  <to>
                    <xdr:col>12</xdr:col>
                    <xdr:colOff>365760</xdr:colOff>
                    <xdr:row>60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22" name="Check Box 228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61</xdr:row>
                    <xdr:rowOff>30480</xdr:rowOff>
                  </from>
                  <to>
                    <xdr:col>12</xdr:col>
                    <xdr:colOff>350520</xdr:colOff>
                    <xdr:row>61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3" name="Check Box 39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51</xdr:row>
                    <xdr:rowOff>60960</xdr:rowOff>
                  </from>
                  <to>
                    <xdr:col>12</xdr:col>
                    <xdr:colOff>365760</xdr:colOff>
                    <xdr:row>51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4" name="Check Box 41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52</xdr:row>
                    <xdr:rowOff>45720</xdr:rowOff>
                  </from>
                  <to>
                    <xdr:col>12</xdr:col>
                    <xdr:colOff>365760</xdr:colOff>
                    <xdr:row>52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5" name="Check Box 43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66</xdr:row>
                    <xdr:rowOff>60960</xdr:rowOff>
                  </from>
                  <to>
                    <xdr:col>12</xdr:col>
                    <xdr:colOff>365760</xdr:colOff>
                    <xdr:row>66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6" name="Check Box 45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70</xdr:row>
                    <xdr:rowOff>38100</xdr:rowOff>
                  </from>
                  <to>
                    <xdr:col>12</xdr:col>
                    <xdr:colOff>365760</xdr:colOff>
                    <xdr:row>70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7" name="Check Box 47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71</xdr:row>
                    <xdr:rowOff>30480</xdr:rowOff>
                  </from>
                  <to>
                    <xdr:col>12</xdr:col>
                    <xdr:colOff>365760</xdr:colOff>
                    <xdr:row>71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8" name="Check Box 48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76</xdr:row>
                    <xdr:rowOff>30480</xdr:rowOff>
                  </from>
                  <to>
                    <xdr:col>12</xdr:col>
                    <xdr:colOff>365760</xdr:colOff>
                    <xdr:row>76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9" name="Check Box 49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77</xdr:row>
                    <xdr:rowOff>30480</xdr:rowOff>
                  </from>
                  <to>
                    <xdr:col>12</xdr:col>
                    <xdr:colOff>365760</xdr:colOff>
                    <xdr:row>77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0" name="Check Box 50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67</xdr:row>
                    <xdr:rowOff>38100</xdr:rowOff>
                  </from>
                  <to>
                    <xdr:col>12</xdr:col>
                    <xdr:colOff>365760</xdr:colOff>
                    <xdr:row>67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1" name="Check Box 56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69</xdr:row>
                    <xdr:rowOff>38100</xdr:rowOff>
                  </from>
                  <to>
                    <xdr:col>12</xdr:col>
                    <xdr:colOff>365760</xdr:colOff>
                    <xdr:row>69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2" name="Check Box 57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74</xdr:row>
                    <xdr:rowOff>60960</xdr:rowOff>
                  </from>
                  <to>
                    <xdr:col>12</xdr:col>
                    <xdr:colOff>365760</xdr:colOff>
                    <xdr:row>74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3" name="Check Box 59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75</xdr:row>
                    <xdr:rowOff>38100</xdr:rowOff>
                  </from>
                  <to>
                    <xdr:col>12</xdr:col>
                    <xdr:colOff>365760</xdr:colOff>
                    <xdr:row>75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4" name="Check Box 91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68</xdr:row>
                    <xdr:rowOff>30480</xdr:rowOff>
                  </from>
                  <to>
                    <xdr:col>12</xdr:col>
                    <xdr:colOff>365760</xdr:colOff>
                    <xdr:row>68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5" name="Check Box 95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72</xdr:row>
                    <xdr:rowOff>30480</xdr:rowOff>
                  </from>
                  <to>
                    <xdr:col>12</xdr:col>
                    <xdr:colOff>365760</xdr:colOff>
                    <xdr:row>72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36" name="Check Box 96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73</xdr:row>
                    <xdr:rowOff>30480</xdr:rowOff>
                  </from>
                  <to>
                    <xdr:col>12</xdr:col>
                    <xdr:colOff>365760</xdr:colOff>
                    <xdr:row>73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7" name="Check Box 29">
              <controlPr defaultSize="0" autoFill="0" autoLine="0" autoPict="0">
                <anchor moveWithCells="1" sizeWithCells="1">
                  <from>
                    <xdr:col>12</xdr:col>
                    <xdr:colOff>137160</xdr:colOff>
                    <xdr:row>46</xdr:row>
                    <xdr:rowOff>30480</xdr:rowOff>
                  </from>
                  <to>
                    <xdr:col>12</xdr:col>
                    <xdr:colOff>312420</xdr:colOff>
                    <xdr:row>46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8" name="Check Box 30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47</xdr:row>
                    <xdr:rowOff>30480</xdr:rowOff>
                  </from>
                  <to>
                    <xdr:col>13</xdr:col>
                    <xdr:colOff>312420</xdr:colOff>
                    <xdr:row>47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39" name="Check Box 74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48</xdr:row>
                    <xdr:rowOff>30480</xdr:rowOff>
                  </from>
                  <to>
                    <xdr:col>13</xdr:col>
                    <xdr:colOff>312420</xdr:colOff>
                    <xdr:row>48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40" name="Check Box 26">
              <controlPr defaultSize="0" autoFill="0" autoLine="0" autoPict="0">
                <anchor moveWithCells="1" sizeWithCells="1">
                  <from>
                    <xdr:col>13</xdr:col>
                    <xdr:colOff>60960</xdr:colOff>
                    <xdr:row>43</xdr:row>
                    <xdr:rowOff>0</xdr:rowOff>
                  </from>
                  <to>
                    <xdr:col>13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41" name="Check Box 27">
              <controlPr defaultSize="0" autoFill="0" autoLine="0" autoPict="0">
                <anchor moveWithCells="1" sizeWithCells="1">
                  <from>
                    <xdr:col>13</xdr:col>
                    <xdr:colOff>60960</xdr:colOff>
                    <xdr:row>43</xdr:row>
                    <xdr:rowOff>0</xdr:rowOff>
                  </from>
                  <to>
                    <xdr:col>13</xdr:col>
                    <xdr:colOff>76200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42" name="Check Box 28">
              <controlPr defaultSize="0" autoFill="0" autoLine="0" autoPict="0">
                <anchor moveWithCells="1" sizeWithCells="1">
                  <from>
                    <xdr:col>12</xdr:col>
                    <xdr:colOff>381000</xdr:colOff>
                    <xdr:row>43</xdr:row>
                    <xdr:rowOff>0</xdr:rowOff>
                  </from>
                  <to>
                    <xdr:col>12</xdr:col>
                    <xdr:colOff>396240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43" name="Check Box 8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21</xdr:row>
                    <xdr:rowOff>22860</xdr:rowOff>
                  </from>
                  <to>
                    <xdr:col>12</xdr:col>
                    <xdr:colOff>320040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44" name="Check Box 9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22</xdr:row>
                    <xdr:rowOff>22860</xdr:rowOff>
                  </from>
                  <to>
                    <xdr:col>12</xdr:col>
                    <xdr:colOff>320040</xdr:colOff>
                    <xdr:row>22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45" name="Check Box 12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23</xdr:row>
                    <xdr:rowOff>15240</xdr:rowOff>
                  </from>
                  <to>
                    <xdr:col>12</xdr:col>
                    <xdr:colOff>320040</xdr:colOff>
                    <xdr:row>23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46" name="Check Box 11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22</xdr:row>
                    <xdr:rowOff>7620</xdr:rowOff>
                  </from>
                  <to>
                    <xdr:col>13</xdr:col>
                    <xdr:colOff>320040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47" name="Check Box 52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23</xdr:row>
                    <xdr:rowOff>15240</xdr:rowOff>
                  </from>
                  <to>
                    <xdr:col>13</xdr:col>
                    <xdr:colOff>320040</xdr:colOff>
                    <xdr:row>23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8" name="Check Box 68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21</xdr:row>
                    <xdr:rowOff>15240</xdr:rowOff>
                  </from>
                  <to>
                    <xdr:col>13</xdr:col>
                    <xdr:colOff>320040</xdr:colOff>
                    <xdr:row>21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49" name="Check Box 13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24</xdr:row>
                    <xdr:rowOff>30480</xdr:rowOff>
                  </from>
                  <to>
                    <xdr:col>12</xdr:col>
                    <xdr:colOff>320040</xdr:colOff>
                    <xdr:row>24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0" name="Check Box 14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25</xdr:row>
                    <xdr:rowOff>15240</xdr:rowOff>
                  </from>
                  <to>
                    <xdr:col>12</xdr:col>
                    <xdr:colOff>320040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1" name="Check Box 15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25</xdr:row>
                    <xdr:rowOff>236220</xdr:rowOff>
                  </from>
                  <to>
                    <xdr:col>12</xdr:col>
                    <xdr:colOff>320040</xdr:colOff>
                    <xdr:row>26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2" name="Check Box 16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24</xdr:row>
                    <xdr:rowOff>30480</xdr:rowOff>
                  </from>
                  <to>
                    <xdr:col>13</xdr:col>
                    <xdr:colOff>320040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3" name="Check Box 53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25</xdr:row>
                    <xdr:rowOff>15240</xdr:rowOff>
                  </from>
                  <to>
                    <xdr:col>13</xdr:col>
                    <xdr:colOff>320040</xdr:colOff>
                    <xdr:row>25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4" name="Check Box 54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25</xdr:row>
                    <xdr:rowOff>251460</xdr:rowOff>
                  </from>
                  <to>
                    <xdr:col>13</xdr:col>
                    <xdr:colOff>320040</xdr:colOff>
                    <xdr:row>26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5" name="Check Box 1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16</xdr:row>
                    <xdr:rowOff>22860</xdr:rowOff>
                  </from>
                  <to>
                    <xdr:col>12</xdr:col>
                    <xdr:colOff>327660</xdr:colOff>
                    <xdr:row>16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6" name="Check Box 2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17</xdr:row>
                    <xdr:rowOff>30480</xdr:rowOff>
                  </from>
                  <to>
                    <xdr:col>12</xdr:col>
                    <xdr:colOff>327660</xdr:colOff>
                    <xdr:row>17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7" name="Check Box 7">
              <controlPr defaultSize="0" autoFill="0" autoLine="0" autoPict="0">
                <anchor moveWithCells="1" sizeWithCells="1">
                  <from>
                    <xdr:col>12</xdr:col>
                    <xdr:colOff>373380</xdr:colOff>
                    <xdr:row>20</xdr:row>
                    <xdr:rowOff>30480</xdr:rowOff>
                  </from>
                  <to>
                    <xdr:col>13</xdr:col>
                    <xdr:colOff>68580</xdr:colOff>
                    <xdr:row>20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8" name="Check Box 66">
              <controlPr defaultSize="0" autoFill="0" autoLine="0" autoPict="0">
                <anchor moveWithCells="1" sizeWithCells="1">
                  <from>
                    <xdr:col>13</xdr:col>
                    <xdr:colOff>144780</xdr:colOff>
                    <xdr:row>18</xdr:row>
                    <xdr:rowOff>22860</xdr:rowOff>
                  </from>
                  <to>
                    <xdr:col>13</xdr:col>
                    <xdr:colOff>327660</xdr:colOff>
                    <xdr:row>18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9" name="Check Box 67">
              <controlPr defaultSize="0" autoFill="0" autoLine="0" autoPict="0">
                <anchor moveWithCells="1" sizeWithCells="1">
                  <from>
                    <xdr:col>12</xdr:col>
                    <xdr:colOff>373380</xdr:colOff>
                    <xdr:row>19</xdr:row>
                    <xdr:rowOff>22860</xdr:rowOff>
                  </from>
                  <to>
                    <xdr:col>13</xdr:col>
                    <xdr:colOff>68580</xdr:colOff>
                    <xdr:row>19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0" name="Check Box 229">
              <controlPr defaultSize="0" autoFill="0" autoLine="0" autoPict="0">
                <anchor moveWithCells="1" sizeWithCells="1">
                  <from>
                    <xdr:col>12</xdr:col>
                    <xdr:colOff>182880</xdr:colOff>
                    <xdr:row>53</xdr:row>
                    <xdr:rowOff>38100</xdr:rowOff>
                  </from>
                  <to>
                    <xdr:col>12</xdr:col>
                    <xdr:colOff>365760</xdr:colOff>
                    <xdr:row>53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1" name="Check Box 230">
              <controlPr defaultSize="0" autoFill="0" autoLine="0" autoPict="0">
                <anchor moveWithCells="1" sizeWithCells="1">
                  <from>
                    <xdr:col>12</xdr:col>
                    <xdr:colOff>175260</xdr:colOff>
                    <xdr:row>62</xdr:row>
                    <xdr:rowOff>22860</xdr:rowOff>
                  </from>
                  <to>
                    <xdr:col>12</xdr:col>
                    <xdr:colOff>350520</xdr:colOff>
                    <xdr:row>62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2" name="Check Box 231">
              <controlPr defaultSize="0" autoFill="0" autoLine="0" autoPict="0">
                <anchor moveWithCells="1" sizeWithCells="1">
                  <from>
                    <xdr:col>12</xdr:col>
                    <xdr:colOff>152400</xdr:colOff>
                    <xdr:row>18</xdr:row>
                    <xdr:rowOff>30480</xdr:rowOff>
                  </from>
                  <to>
                    <xdr:col>12</xdr:col>
                    <xdr:colOff>335280</xdr:colOff>
                    <xdr:row>18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3" name="Check Box 232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34</xdr:row>
                    <xdr:rowOff>38100</xdr:rowOff>
                  </from>
                  <to>
                    <xdr:col>12</xdr:col>
                    <xdr:colOff>327660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4" name="Check Box 233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34</xdr:row>
                    <xdr:rowOff>38100</xdr:rowOff>
                  </from>
                  <to>
                    <xdr:col>12</xdr:col>
                    <xdr:colOff>327660</xdr:colOff>
                    <xdr:row>34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5" name="Check Box 234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35</xdr:row>
                    <xdr:rowOff>38100</xdr:rowOff>
                  </from>
                  <to>
                    <xdr:col>12</xdr:col>
                    <xdr:colOff>327660</xdr:colOff>
                    <xdr:row>35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66" name="Check Box 235">
              <controlPr defaultSize="0" autoFill="0" autoLine="0" autoPict="0">
                <anchor moveWithCells="1" sizeWithCells="1">
                  <from>
                    <xdr:col>12</xdr:col>
                    <xdr:colOff>144780</xdr:colOff>
                    <xdr:row>32</xdr:row>
                    <xdr:rowOff>38100</xdr:rowOff>
                  </from>
                  <to>
                    <xdr:col>12</xdr:col>
                    <xdr:colOff>327660</xdr:colOff>
                    <xdr:row>32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67" name="Check Box 236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27</xdr:row>
                    <xdr:rowOff>30480</xdr:rowOff>
                  </from>
                  <to>
                    <xdr:col>13</xdr:col>
                    <xdr:colOff>312420</xdr:colOff>
                    <xdr:row>27</xdr:row>
                    <xdr:rowOff>160020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8" name="Check Box 237">
              <controlPr defaultSize="0" autoFill="0" autoLine="0" autoPict="0">
                <anchor moveWithCells="1" sizeWithCells="1">
                  <from>
                    <xdr:col>13</xdr:col>
                    <xdr:colOff>137160</xdr:colOff>
                    <xdr:row>37</xdr:row>
                    <xdr:rowOff>30480</xdr:rowOff>
                  </from>
                  <to>
                    <xdr:col>13</xdr:col>
                    <xdr:colOff>312420</xdr:colOff>
                    <xdr:row>37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9"/>
  <sheetViews>
    <sheetView workbookViewId="0">
      <selection activeCell="BC14" sqref="BC14"/>
    </sheetView>
  </sheetViews>
  <sheetFormatPr defaultColWidth="9.109375" defaultRowHeight="13.8" x14ac:dyDescent="0.25"/>
  <cols>
    <col min="1" max="1" width="5" style="70" customWidth="1"/>
    <col min="2" max="2" width="21" style="70" customWidth="1"/>
    <col min="3" max="4" width="3" style="70" customWidth="1"/>
    <col min="5" max="5" width="3" style="70" bestFit="1" customWidth="1"/>
    <col min="6" max="7" width="3" style="70" customWidth="1"/>
    <col min="8" max="8" width="3" style="74" bestFit="1" customWidth="1"/>
    <col min="9" max="9" width="3" style="70" bestFit="1" customWidth="1"/>
    <col min="10" max="10" width="3" style="70" customWidth="1"/>
    <col min="11" max="21" width="3" style="70" bestFit="1" customWidth="1"/>
    <col min="22" max="22" width="3" style="70" customWidth="1"/>
    <col min="23" max="23" width="3" style="70" bestFit="1" customWidth="1"/>
    <col min="24" max="24" width="3" style="70" customWidth="1"/>
    <col min="25" max="25" width="3" style="70" bestFit="1" customWidth="1"/>
    <col min="26" max="26" width="3" style="70" customWidth="1"/>
    <col min="27" max="27" width="4.33203125" style="70" customWidth="1"/>
    <col min="28" max="28" width="3" style="70" hidden="1" customWidth="1"/>
    <col min="29" max="30" width="4.33203125" style="70" customWidth="1"/>
    <col min="31" max="31" width="3" style="70" bestFit="1" customWidth="1"/>
    <col min="32" max="33" width="3" style="70" hidden="1" customWidth="1"/>
    <col min="34" max="40" width="3" style="70" customWidth="1"/>
    <col min="41" max="45" width="3.109375" style="70" customWidth="1"/>
    <col min="46" max="46" width="3.109375" style="78" customWidth="1"/>
    <col min="47" max="52" width="3.109375" style="70" customWidth="1"/>
    <col min="53" max="53" width="5" style="70" customWidth="1"/>
    <col min="54" max="54" width="5.6640625" style="70" bestFit="1" customWidth="1"/>
    <col min="55" max="56" width="3.109375" style="70" customWidth="1"/>
    <col min="57" max="57" width="4.33203125" style="70" customWidth="1"/>
    <col min="58" max="58" width="4.6640625" style="70" customWidth="1"/>
    <col min="59" max="59" width="4.44140625" style="70" customWidth="1"/>
    <col min="60" max="60" width="3.109375" style="70" hidden="1" customWidth="1"/>
    <col min="61" max="62" width="3.109375" style="70" customWidth="1"/>
    <col min="63" max="63" width="4.33203125" style="70" customWidth="1"/>
    <col min="64" max="64" width="3.109375" style="70" customWidth="1"/>
    <col min="65" max="66" width="4.33203125" style="70" customWidth="1"/>
    <col min="67" max="16384" width="9.109375" style="70"/>
  </cols>
  <sheetData>
    <row r="1" spans="1:66" ht="13.5" customHeight="1" x14ac:dyDescent="0.25">
      <c r="A1" s="279" t="s">
        <v>2</v>
      </c>
      <c r="B1" s="279" t="s">
        <v>56</v>
      </c>
      <c r="C1" s="279" t="s">
        <v>128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90" t="s">
        <v>136</v>
      </c>
      <c r="AJ1" s="291"/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1"/>
      <c r="AZ1" s="291"/>
      <c r="BA1" s="289" t="s">
        <v>137</v>
      </c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3" t="s">
        <v>57</v>
      </c>
      <c r="BN1" s="276" t="s">
        <v>95</v>
      </c>
    </row>
    <row r="2" spans="1:66" ht="51" customHeight="1" x14ac:dyDescent="0.25">
      <c r="A2" s="279"/>
      <c r="B2" s="279"/>
      <c r="C2" s="279" t="s">
        <v>111</v>
      </c>
      <c r="D2" s="279"/>
      <c r="E2" s="293" t="s">
        <v>58</v>
      </c>
      <c r="F2" s="280" t="s">
        <v>91</v>
      </c>
      <c r="G2" s="279" t="s">
        <v>134</v>
      </c>
      <c r="H2" s="279"/>
      <c r="I2" s="279" t="s">
        <v>59</v>
      </c>
      <c r="J2" s="279"/>
      <c r="K2" s="279"/>
      <c r="L2" s="279"/>
      <c r="M2" s="280" t="s">
        <v>60</v>
      </c>
      <c r="N2" s="280" t="s">
        <v>124</v>
      </c>
      <c r="O2" s="279" t="s">
        <v>61</v>
      </c>
      <c r="P2" s="279"/>
      <c r="Q2" s="279"/>
      <c r="R2" s="279"/>
      <c r="S2" s="279"/>
      <c r="T2" s="279"/>
      <c r="U2" s="279" t="s">
        <v>62</v>
      </c>
      <c r="V2" s="279"/>
      <c r="W2" s="279"/>
      <c r="X2" s="279"/>
      <c r="Y2" s="279"/>
      <c r="Z2" s="279"/>
      <c r="AA2" s="279"/>
      <c r="AB2" s="279"/>
      <c r="AC2" s="279"/>
      <c r="AD2" s="279"/>
      <c r="AE2" s="279" t="s">
        <v>35</v>
      </c>
      <c r="AF2" s="279"/>
      <c r="AG2" s="279"/>
      <c r="AH2" s="279"/>
      <c r="AI2" s="279" t="s">
        <v>135</v>
      </c>
      <c r="AJ2" s="279"/>
      <c r="AK2" s="279"/>
      <c r="AL2" s="292" t="s">
        <v>63</v>
      </c>
      <c r="AM2" s="292" t="s">
        <v>106</v>
      </c>
      <c r="AN2" s="292" t="s">
        <v>107</v>
      </c>
      <c r="AO2" s="297" t="s">
        <v>41</v>
      </c>
      <c r="AP2" s="281" t="s">
        <v>126</v>
      </c>
      <c r="AQ2" s="281" t="s">
        <v>42</v>
      </c>
      <c r="AR2" s="281" t="s">
        <v>43</v>
      </c>
      <c r="AS2" s="281" t="s">
        <v>44</v>
      </c>
      <c r="AT2" s="281" t="s">
        <v>45</v>
      </c>
      <c r="AU2" s="281" t="s">
        <v>97</v>
      </c>
      <c r="AV2" s="281" t="s">
        <v>86</v>
      </c>
      <c r="AW2" s="281" t="s">
        <v>118</v>
      </c>
      <c r="AX2" s="281" t="s">
        <v>119</v>
      </c>
      <c r="AY2" s="295" t="s">
        <v>131</v>
      </c>
      <c r="AZ2" s="295" t="s">
        <v>130</v>
      </c>
      <c r="BA2" s="138" t="s">
        <v>64</v>
      </c>
      <c r="BB2" s="287" t="s">
        <v>24</v>
      </c>
      <c r="BC2" s="288"/>
      <c r="BD2" s="71" t="s">
        <v>25</v>
      </c>
      <c r="BE2" s="71" t="s">
        <v>26</v>
      </c>
      <c r="BF2" s="286" t="s">
        <v>27</v>
      </c>
      <c r="BG2" s="287"/>
      <c r="BH2" s="288"/>
      <c r="BI2" s="125" t="s">
        <v>67</v>
      </c>
      <c r="BJ2" s="71" t="s">
        <v>28</v>
      </c>
      <c r="BK2" s="71" t="s">
        <v>29</v>
      </c>
      <c r="BL2" s="71" t="s">
        <v>30</v>
      </c>
      <c r="BM2" s="284"/>
      <c r="BN2" s="277"/>
    </row>
    <row r="3" spans="1:66" s="74" customFormat="1" ht="112.5" customHeight="1" x14ac:dyDescent="0.25">
      <c r="A3" s="279"/>
      <c r="B3" s="279"/>
      <c r="C3" s="116" t="s">
        <v>20</v>
      </c>
      <c r="D3" s="72" t="s">
        <v>22</v>
      </c>
      <c r="E3" s="294"/>
      <c r="F3" s="280"/>
      <c r="G3" s="72" t="s">
        <v>132</v>
      </c>
      <c r="H3" s="72" t="s">
        <v>66</v>
      </c>
      <c r="I3" s="72" t="s">
        <v>68</v>
      </c>
      <c r="J3" s="72" t="s">
        <v>133</v>
      </c>
      <c r="K3" s="72" t="s">
        <v>69</v>
      </c>
      <c r="L3" s="72" t="s">
        <v>70</v>
      </c>
      <c r="M3" s="280"/>
      <c r="N3" s="280"/>
      <c r="O3" s="72" t="s">
        <v>71</v>
      </c>
      <c r="P3" s="72" t="s">
        <v>72</v>
      </c>
      <c r="Q3" s="72" t="s">
        <v>73</v>
      </c>
      <c r="R3" s="72" t="s">
        <v>74</v>
      </c>
      <c r="S3" s="72" t="s">
        <v>75</v>
      </c>
      <c r="T3" s="72" t="s">
        <v>76</v>
      </c>
      <c r="U3" s="72" t="s">
        <v>77</v>
      </c>
      <c r="V3" s="72" t="s">
        <v>103</v>
      </c>
      <c r="W3" s="72" t="s">
        <v>78</v>
      </c>
      <c r="X3" s="72" t="s">
        <v>104</v>
      </c>
      <c r="Y3" s="72" t="s">
        <v>79</v>
      </c>
      <c r="Z3" s="72" t="s">
        <v>105</v>
      </c>
      <c r="AA3" s="73" t="s">
        <v>80</v>
      </c>
      <c r="AB3" s="126" t="s">
        <v>81</v>
      </c>
      <c r="AC3" s="72" t="s">
        <v>87</v>
      </c>
      <c r="AD3" s="72" t="s">
        <v>88</v>
      </c>
      <c r="AE3" s="72" t="s">
        <v>82</v>
      </c>
      <c r="AF3" s="72" t="s">
        <v>85</v>
      </c>
      <c r="AG3" s="126" t="s">
        <v>84</v>
      </c>
      <c r="AH3" s="72" t="s">
        <v>83</v>
      </c>
      <c r="AI3" s="72" t="s">
        <v>64</v>
      </c>
      <c r="AJ3" s="72" t="s">
        <v>65</v>
      </c>
      <c r="AK3" s="72" t="s">
        <v>66</v>
      </c>
      <c r="AL3" s="292"/>
      <c r="AM3" s="292"/>
      <c r="AN3" s="292"/>
      <c r="AO3" s="298"/>
      <c r="AP3" s="282"/>
      <c r="AQ3" s="282"/>
      <c r="AR3" s="282"/>
      <c r="AS3" s="282"/>
      <c r="AT3" s="282"/>
      <c r="AU3" s="282"/>
      <c r="AV3" s="282"/>
      <c r="AW3" s="282"/>
      <c r="AX3" s="282"/>
      <c r="AY3" s="296"/>
      <c r="AZ3" s="296"/>
      <c r="BA3" s="72" t="s">
        <v>117</v>
      </c>
      <c r="BB3" s="141" t="s">
        <v>100</v>
      </c>
      <c r="BC3" s="72" t="s">
        <v>101</v>
      </c>
      <c r="BD3" s="72" t="s">
        <v>46</v>
      </c>
      <c r="BE3" s="72" t="s">
        <v>92</v>
      </c>
      <c r="BF3" s="72" t="s">
        <v>108</v>
      </c>
      <c r="BG3" s="72" t="s">
        <v>109</v>
      </c>
      <c r="BH3" s="72" t="s">
        <v>110</v>
      </c>
      <c r="BI3" s="72" t="s">
        <v>93</v>
      </c>
      <c r="BJ3" s="72" t="s">
        <v>94</v>
      </c>
      <c r="BK3" s="72" t="s">
        <v>47</v>
      </c>
      <c r="BL3" s="72" t="s">
        <v>48</v>
      </c>
      <c r="BM3" s="285"/>
      <c r="BN3" s="278"/>
    </row>
    <row r="4" spans="1:66" x14ac:dyDescent="0.25">
      <c r="A4" s="77" t="str">
        <f>"2"&amp;MID(Planas!E11,3,1)</f>
        <v>2</v>
      </c>
      <c r="B4" s="75" t="str">
        <f>Planas!J9&amp;" "&amp;Planas!E9</f>
        <v xml:space="preserve"> </v>
      </c>
      <c r="C4" s="75" t="str">
        <f>Planas!K17</f>
        <v/>
      </c>
      <c r="D4" s="75" t="str">
        <f>Planas!K18</f>
        <v/>
      </c>
      <c r="E4" s="75" t="str">
        <f>IF(Planas!U19,Planas!K19,"")</f>
        <v/>
      </c>
      <c r="F4" s="75" t="str">
        <f>IF(Planas!V19,Planas!K19,"")</f>
        <v/>
      </c>
      <c r="G4" s="75" t="str">
        <f>IF(Planas!V20,Planas!K20,"")</f>
        <v/>
      </c>
      <c r="H4" s="76" t="str">
        <f>IF(Planas!V21,Planas!K21,"")</f>
        <v/>
      </c>
      <c r="I4" s="75" t="str">
        <f>IF(Planas!U22,Planas!K22,"")</f>
        <v/>
      </c>
      <c r="J4" s="75" t="str">
        <f>IF(Planas!V22,Planas!K22,"")</f>
        <v/>
      </c>
      <c r="K4" s="75" t="str">
        <f>IF(Planas!U23,Planas!K23,"")</f>
        <v/>
      </c>
      <c r="L4" s="75" t="str">
        <f>IF(Planas!V23,Planas!K23,"")</f>
        <v/>
      </c>
      <c r="M4" s="75" t="str">
        <f>IF(Planas!U24,Planas!K24,"")</f>
        <v/>
      </c>
      <c r="N4" s="75" t="str">
        <f>IF(Planas!V24,Planas!K24,"")</f>
        <v/>
      </c>
      <c r="O4" s="75" t="str">
        <f>IF(Planas!U25,Planas!K25,"")</f>
        <v/>
      </c>
      <c r="P4" s="75" t="str">
        <f>IF(Planas!V25,Planas!K25,"")</f>
        <v/>
      </c>
      <c r="Q4" s="75" t="str">
        <f>IF(Planas!U26,Planas!K26,"")</f>
        <v/>
      </c>
      <c r="R4" s="75" t="str">
        <f>IF(Planas!V26,Planas!K26,"")</f>
        <v/>
      </c>
      <c r="S4" s="75" t="str">
        <f>IF(Planas!U27,Planas!K27,"")</f>
        <v/>
      </c>
      <c r="T4" s="75" t="str">
        <f>IF(Planas!V27,Planas!K27,"")</f>
        <v/>
      </c>
      <c r="U4" s="75" t="str">
        <f>IF(Planas!U28,Planas!K28,"")</f>
        <v/>
      </c>
      <c r="V4" s="75" t="str">
        <f>IF(Planas!V28,Planas!K28,"")</f>
        <v/>
      </c>
      <c r="W4" s="75" t="str">
        <f>IF(Planas!U29,Planas!K29,"")</f>
        <v/>
      </c>
      <c r="X4" s="75" t="str">
        <f>IF(Planas!V29,Planas!K29,"")</f>
        <v/>
      </c>
      <c r="Y4" s="75" t="str">
        <f>IF(Planas!U30,Planas!K30,"")</f>
        <v/>
      </c>
      <c r="Z4" s="75" t="str">
        <f>IF(Planas!V30,Planas!K30,"")</f>
        <v/>
      </c>
      <c r="AA4" s="75" t="str">
        <f>Planas!K31</f>
        <v/>
      </c>
      <c r="AB4" s="127" t="str">
        <f>Planas!K32</f>
        <v/>
      </c>
      <c r="AC4" s="75" t="str">
        <f>Planas!K34</f>
        <v/>
      </c>
      <c r="AD4" s="75" t="str">
        <f>Planas!K37</f>
        <v/>
      </c>
      <c r="AE4" s="75" t="str">
        <f>Planas!K38</f>
        <v/>
      </c>
      <c r="AF4" s="75" t="str">
        <f>Planas!K39</f>
        <v/>
      </c>
      <c r="AG4" s="127" t="str">
        <f>Planas!K40</f>
        <v/>
      </c>
      <c r="AH4" s="75" t="str">
        <f>Planas!K41</f>
        <v/>
      </c>
      <c r="AI4" s="75" t="str">
        <f>IF(Planas!V44,Planas!K44,"")</f>
        <v/>
      </c>
      <c r="AJ4" s="75" t="str">
        <f>IF(Planas!V45,Planas!K45,"")</f>
        <v/>
      </c>
      <c r="AK4" s="77" t="str">
        <f>IF(Planas!V46,Planas!K46,"")</f>
        <v/>
      </c>
      <c r="AL4" s="75" t="str">
        <f>IF(Planas!U47,Planas!K47,"")</f>
        <v/>
      </c>
      <c r="AM4" s="75" t="str">
        <f>IF(Planas!V48,Planas!K48,"")</f>
        <v/>
      </c>
      <c r="AN4" s="75" t="str">
        <f>IF(Planas!V49,Planas!K49,"")</f>
        <v/>
      </c>
      <c r="AO4" s="75" t="str">
        <f>Planas!K52</f>
        <v/>
      </c>
      <c r="AP4" s="75" t="str">
        <f>Planas!K53</f>
        <v/>
      </c>
      <c r="AQ4" s="75" t="str">
        <f>Planas!K54</f>
        <v/>
      </c>
      <c r="AR4" s="75" t="str">
        <f>Planas!K55</f>
        <v/>
      </c>
      <c r="AS4" s="75" t="str">
        <f>Planas!K56</f>
        <v/>
      </c>
      <c r="AT4" s="77" t="str">
        <f>Planas!K57</f>
        <v/>
      </c>
      <c r="AU4" s="75" t="str">
        <f>Planas!K58</f>
        <v/>
      </c>
      <c r="AV4" s="75" t="str">
        <f>Planas!K59</f>
        <v/>
      </c>
      <c r="AW4" s="75" t="str">
        <f>Planas!K60</f>
        <v/>
      </c>
      <c r="AX4" s="75" t="str">
        <f>Planas!K61</f>
        <v/>
      </c>
      <c r="AY4" s="75" t="str">
        <f>Planas!K62</f>
        <v/>
      </c>
      <c r="AZ4" s="75" t="str">
        <f>Planas!K63</f>
        <v/>
      </c>
      <c r="BA4" s="75" t="str">
        <f>Planas!K67</f>
        <v/>
      </c>
      <c r="BB4" s="75" t="str">
        <f>Planas!K68</f>
        <v/>
      </c>
      <c r="BC4" s="75" t="str">
        <f>Planas!K69</f>
        <v/>
      </c>
      <c r="BD4" s="75" t="str">
        <f>Planas!K70</f>
        <v/>
      </c>
      <c r="BE4" s="75" t="str">
        <f>Planas!K71</f>
        <v/>
      </c>
      <c r="BF4" s="75" t="str">
        <f>Planas!K72</f>
        <v/>
      </c>
      <c r="BG4" s="75" t="str">
        <f>Planas!K73</f>
        <v/>
      </c>
      <c r="BH4" s="75" t="str">
        <f>Planas!K74</f>
        <v/>
      </c>
      <c r="BI4" s="75" t="str">
        <f>Planas!K75</f>
        <v/>
      </c>
      <c r="BJ4" s="75" t="str">
        <f>Planas!K76</f>
        <v/>
      </c>
      <c r="BK4" s="75" t="str">
        <f>Planas!K77</f>
        <v/>
      </c>
      <c r="BL4" s="75" t="str">
        <f>Planas!K78</f>
        <v/>
      </c>
      <c r="BM4" s="105">
        <f>SUM(C4:BL4)</f>
        <v>0</v>
      </c>
      <c r="BN4" s="75">
        <f>COUNT(C4:AY4)</f>
        <v>0</v>
      </c>
    </row>
    <row r="6" spans="1:66" x14ac:dyDescent="0.25">
      <c r="B6" s="132" t="s">
        <v>127</v>
      </c>
      <c r="AW6" s="70" t="s">
        <v>40</v>
      </c>
    </row>
    <row r="7" spans="1:66" ht="12.75" customHeight="1" x14ac:dyDescent="0.25">
      <c r="AT7" s="70"/>
    </row>
    <row r="8" spans="1:66" x14ac:dyDescent="0.25">
      <c r="AT8" s="70"/>
    </row>
    <row r="9" spans="1:66" x14ac:dyDescent="0.25">
      <c r="BA9" s="121"/>
      <c r="BB9" s="121"/>
    </row>
  </sheetData>
  <mergeCells count="35">
    <mergeCell ref="AN2:AN3"/>
    <mergeCell ref="E2:E3"/>
    <mergeCell ref="AP2:AP3"/>
    <mergeCell ref="AQ2:AQ3"/>
    <mergeCell ref="AZ2:AZ3"/>
    <mergeCell ref="AL2:AL3"/>
    <mergeCell ref="O2:T2"/>
    <mergeCell ref="AO2:AO3"/>
    <mergeCell ref="AY2:AY3"/>
    <mergeCell ref="AM2:AM3"/>
    <mergeCell ref="AW2:AW3"/>
    <mergeCell ref="AT2:AT3"/>
    <mergeCell ref="AU2:AU3"/>
    <mergeCell ref="A1:A3"/>
    <mergeCell ref="B1:B3"/>
    <mergeCell ref="F2:F3"/>
    <mergeCell ref="U2:AD2"/>
    <mergeCell ref="AE2:AH2"/>
    <mergeCell ref="C2:D2"/>
    <mergeCell ref="BN1:BN3"/>
    <mergeCell ref="C1:AH1"/>
    <mergeCell ref="M2:M3"/>
    <mergeCell ref="AR2:AR3"/>
    <mergeCell ref="I2:L2"/>
    <mergeCell ref="G2:H2"/>
    <mergeCell ref="BM1:BM3"/>
    <mergeCell ref="AX2:AX3"/>
    <mergeCell ref="BF2:BH2"/>
    <mergeCell ref="AV2:AV3"/>
    <mergeCell ref="AS2:AS3"/>
    <mergeCell ref="BA1:BL1"/>
    <mergeCell ref="AI1:AZ1"/>
    <mergeCell ref="BB2:BC2"/>
    <mergeCell ref="N2:N3"/>
    <mergeCell ref="AI2:AK2"/>
  </mergeCells>
  <phoneticPr fontId="1" type="noConversion"/>
  <conditionalFormatting sqref="BM4">
    <cfRule type="cellIs" dxfId="1" priority="10" operator="notBetween">
      <formula>28</formula>
      <formula>32</formula>
    </cfRule>
  </conditionalFormatting>
  <conditionalFormatting sqref="BN4">
    <cfRule type="cellIs" dxfId="0" priority="9" stopIfTrue="1" operator="lessThan">
      <formula>9</formula>
    </cfRule>
  </conditionalFormatting>
  <pageMargins left="0.75" right="0.75" top="1" bottom="1" header="0" footer="0"/>
  <pageSetup paperSize="9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1</vt:i4>
      </vt:variant>
    </vt:vector>
  </HeadingPairs>
  <TitlesOfParts>
    <vt:vector size="3" baseType="lpstr">
      <vt:lpstr>Planas</vt:lpstr>
      <vt:lpstr>Eilute</vt:lpstr>
      <vt:lpstr>Planas!Print_Area</vt:lpstr>
    </vt:vector>
  </TitlesOfParts>
  <Company>Zemyna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Vaidilute</dc:creator>
  <cp:lastModifiedBy>Antanukas</cp:lastModifiedBy>
  <cp:lastPrinted>2021-04-11T16:39:07Z</cp:lastPrinted>
  <dcterms:created xsi:type="dcterms:W3CDTF">2010-02-12T08:48:25Z</dcterms:created>
  <dcterms:modified xsi:type="dcterms:W3CDTF">2022-04-13T05:50:58Z</dcterms:modified>
</cp:coreProperties>
</file>